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1755" windowWidth="9540" windowHeight="3270" tabRatio="918" activeTab="1"/>
  </bookViews>
  <sheets>
    <sheet name="Dizi Pusulası" sheetId="2" r:id="rId1"/>
    <sheet name="ÖN BİLGİ" sheetId="20" r:id="rId2"/>
    <sheet name="Föy-1" sheetId="25" r:id="rId3"/>
    <sheet name="Föy-ara" sheetId="26" r:id="rId4"/>
    <sheet name="Föy-son" sheetId="27" r:id="rId5"/>
    <sheet name="Hakediş Raporu Kapağı" sheetId="1" r:id="rId6"/>
    <sheet name="Yeşil Defter-İNŞAAT" sheetId="4" r:id="rId7"/>
    <sheet name="Yeşil Defter-TESİSAT" sheetId="21" r:id="rId8"/>
    <sheet name="Yeşil Defter-ELEKTRİK" sheetId="23" r:id="rId9"/>
    <sheet name="f.farkı" sheetId="28" r:id="rId10"/>
    <sheet name="%3 KESİNTİ" sheetId="29" r:id="rId11"/>
    <sheet name="Hakediş Özeti" sheetId="11" r:id="rId12"/>
    <sheet name="İcmal" sheetId="12" r:id="rId13"/>
    <sheet name="Hakediş Raporu Son Sayfa" sheetId="13" r:id="rId14"/>
    <sheet name="yapılan işler listesi" sheetId="14" r:id="rId15"/>
    <sheet name="ilan ve tespit tutanağı " sheetId="22" r:id="rId16"/>
  </sheets>
  <externalReferences>
    <externalReference r:id="rId17"/>
    <externalReference r:id="rId18"/>
  </externalReferences>
  <definedNames>
    <definedName name="_BFK2003" localSheetId="15">[1]BF!#REF!</definedName>
    <definedName name="_BFK2003" localSheetId="8">[2]BF!#REF!</definedName>
    <definedName name="_BFK2003" localSheetId="7">[2]BF!#REF!</definedName>
    <definedName name="_BFK2003">[2]BF!#REF!</definedName>
    <definedName name="_xlnm.Print_Area" localSheetId="10">'%3 KESİNTİ'!$A$1:$G$41</definedName>
    <definedName name="_xlnm.Print_Area" localSheetId="0">'Dizi Pusulası'!$A$1:$J$40</definedName>
    <definedName name="_xlnm.Print_Area" localSheetId="9">f.farkı!$A$1:$K$31</definedName>
    <definedName name="_xlnm.Print_Area" localSheetId="11">'Hakediş Özeti'!$B$1:$M$21</definedName>
    <definedName name="_xlnm.Print_Area" localSheetId="5">'Hakediş Raporu Kapağı'!$A$1:$I$50</definedName>
    <definedName name="_xlnm.Print_Area" localSheetId="13">'Hakediş Raporu Son Sayfa'!$B$1:$G$45</definedName>
    <definedName name="_xlnm.Print_Area" localSheetId="12">İcmal!$A$1:$F$23</definedName>
    <definedName name="_xlnm.Print_Area" localSheetId="15">'ilan ve tespit tutanağı '!$A$1:$AK$21</definedName>
    <definedName name="_xlnm.Print_Area" localSheetId="14">'yapılan işler listesi'!$A$1:$J$22</definedName>
    <definedName name="_xlnm.Print_Area" localSheetId="8">'Yeşil Defter-ELEKTRİK'!$A$1:$I$122</definedName>
    <definedName name="_xlnm.Print_Area" localSheetId="6">'Yeşil Defter-İNŞAAT'!$A$1:$I$139</definedName>
    <definedName name="_xlnm.Print_Area" localSheetId="7">'Yeşil Defter-TESİSAT'!$A$1:$I$109</definedName>
  </definedNames>
  <calcPr calcId="145621"/>
  <customWorkbookViews>
    <customWorkbookView name="ryilmazer - Kişisel Görünüm" guid="{B697A606-4F7D-4003-A961-6D85D54ED7E6}" mergeInterval="0" personalView="1" maximized="1" windowWidth="1020" windowHeight="607" tabRatio="527" activeSheetId="12"/>
    <customWorkbookView name="oteker - Kişisel Görünüm" guid="{A0FBF4F0-B30E-4ACB-A5FE-211E2EFA502B}" mergeInterval="0" personalView="1" maximized="1" windowWidth="1020" windowHeight="579" tabRatio="527" activeSheetId="12"/>
  </customWorkbookViews>
</workbook>
</file>

<file path=xl/calcChain.xml><?xml version="1.0" encoding="utf-8"?>
<calcChain xmlns="http://schemas.openxmlformats.org/spreadsheetml/2006/main">
  <c r="F13" i="13" l="1"/>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6" i="21"/>
  <c r="F7" i="21"/>
  <c r="F8" i="21"/>
  <c r="F9" i="21"/>
  <c r="F10" i="21"/>
  <c r="F11" i="21"/>
  <c r="F12" i="21"/>
  <c r="F13" i="21"/>
  <c r="F14" i="21"/>
  <c r="F15" i="21"/>
  <c r="F16" i="21"/>
  <c r="F17" i="21"/>
  <c r="F18" i="21"/>
  <c r="F19" i="21"/>
  <c r="F20" i="21"/>
  <c r="F21" i="21"/>
  <c r="F22" i="21"/>
  <c r="F23" i="21"/>
  <c r="F24" i="21"/>
  <c r="F25" i="21"/>
  <c r="F26" i="21"/>
  <c r="F27" i="21"/>
  <c r="F28" i="21"/>
  <c r="F29" i="21"/>
  <c r="F30" i="21"/>
  <c r="F31" i="21"/>
  <c r="F32" i="21"/>
  <c r="F33" i="21"/>
  <c r="F34" i="21"/>
  <c r="F35" i="21"/>
  <c r="F36" i="21"/>
  <c r="F37" i="21"/>
  <c r="F38" i="21"/>
  <c r="F39" i="21"/>
  <c r="F40" i="21"/>
  <c r="F41" i="21"/>
  <c r="F42" i="21"/>
  <c r="F43" i="21"/>
  <c r="F44" i="21"/>
  <c r="F45" i="21"/>
  <c r="F46" i="21"/>
  <c r="F47" i="21"/>
  <c r="F48" i="21"/>
  <c r="F49" i="21"/>
  <c r="I15" i="28" l="1"/>
  <c r="I13" i="28"/>
  <c r="K13" i="28"/>
  <c r="J13" i="28"/>
  <c r="D17" i="28"/>
  <c r="B17" i="28"/>
  <c r="D27" i="28"/>
  <c r="F9" i="11" l="1"/>
  <c r="D9" i="11"/>
  <c r="C9" i="11"/>
  <c r="G7" i="11"/>
  <c r="G6" i="11"/>
  <c r="G5" i="11"/>
  <c r="I12" i="28"/>
  <c r="I10" i="28"/>
  <c r="K10" i="28" s="1"/>
  <c r="L7" i="11" l="1"/>
  <c r="F8" i="11"/>
  <c r="G15" i="29"/>
  <c r="D14" i="28" l="1"/>
  <c r="I9" i="28"/>
  <c r="K9" i="28" s="1"/>
  <c r="D26" i="28"/>
  <c r="B14" i="28" s="1"/>
  <c r="I7" i="28" l="1"/>
  <c r="B21" i="28" l="1"/>
  <c r="G10" i="29"/>
  <c r="C4" i="29"/>
  <c r="J4" i="28"/>
  <c r="J6" i="28"/>
  <c r="J7" i="28" s="1"/>
  <c r="K7" i="28" s="1"/>
  <c r="D5" i="28"/>
  <c r="F24" i="28" l="1"/>
  <c r="K20" i="28"/>
  <c r="I8" i="28"/>
  <c r="I6" i="28"/>
  <c r="I4" i="28"/>
  <c r="I3" i="28"/>
  <c r="D3" i="28"/>
  <c r="K3" i="28" l="1"/>
  <c r="K18" i="28"/>
  <c r="D4" i="28"/>
  <c r="K4" i="28"/>
  <c r="D6" i="28" l="1"/>
  <c r="D8" i="28" s="1"/>
  <c r="D12" i="28" s="1"/>
  <c r="D15" i="28" s="1"/>
  <c r="D18" i="28" s="1"/>
  <c r="D20" i="28" s="1"/>
  <c r="K6" i="28" l="1"/>
  <c r="E19" i="14" l="1"/>
  <c r="E20" i="14"/>
  <c r="F29" i="13"/>
  <c r="F28" i="13"/>
  <c r="F26" i="13"/>
  <c r="F25" i="13"/>
  <c r="B16" i="12"/>
  <c r="H21" i="11"/>
  <c r="H20" i="11"/>
  <c r="E68" i="4"/>
  <c r="E67" i="4"/>
  <c r="E61" i="4"/>
  <c r="E59" i="4"/>
  <c r="E58" i="4"/>
  <c r="E52" i="4"/>
  <c r="E51" i="4"/>
  <c r="E50" i="4"/>
  <c r="E43" i="4"/>
  <c r="E42" i="4"/>
  <c r="E41" i="4"/>
  <c r="E40" i="4"/>
  <c r="E34" i="4"/>
  <c r="E33" i="4"/>
  <c r="E32" i="4"/>
  <c r="E31" i="4"/>
  <c r="E30" i="4"/>
  <c r="E15" i="4"/>
  <c r="E14" i="4"/>
  <c r="E11" i="4"/>
  <c r="E9" i="4"/>
  <c r="E16" i="4" s="1"/>
  <c r="E8" i="4"/>
  <c r="E83" i="21"/>
  <c r="E82" i="21"/>
  <c r="E81" i="21"/>
  <c r="E80" i="21"/>
  <c r="E79" i="21"/>
  <c r="E78" i="21"/>
  <c r="E103" i="21" s="1"/>
  <c r="E40" i="21"/>
  <c r="E39" i="21"/>
  <c r="E38" i="21"/>
  <c r="E37" i="21"/>
  <c r="E36" i="21"/>
  <c r="E35" i="21"/>
  <c r="E34" i="21"/>
  <c r="E33" i="21"/>
  <c r="E49" i="21" s="1"/>
  <c r="E32" i="21"/>
  <c r="A3" i="25"/>
  <c r="E26" i="13"/>
  <c r="E25" i="13"/>
  <c r="C9" i="14"/>
  <c r="J62" i="21"/>
  <c r="J63" i="21"/>
  <c r="J64" i="21"/>
  <c r="J65" i="21"/>
  <c r="J66" i="21"/>
  <c r="J67" i="21"/>
  <c r="J68" i="21"/>
  <c r="J69" i="21"/>
  <c r="J70" i="21"/>
  <c r="J71" i="21"/>
  <c r="J72" i="21"/>
  <c r="J73" i="21"/>
  <c r="J74" i="21"/>
  <c r="J75" i="21"/>
  <c r="J76" i="21"/>
  <c r="J77" i="21"/>
  <c r="J78" i="21"/>
  <c r="J79" i="21"/>
  <c r="J80" i="21"/>
  <c r="J81" i="21"/>
  <c r="J82" i="21"/>
  <c r="J83" i="21"/>
  <c r="J84" i="21"/>
  <c r="J85" i="21"/>
  <c r="J86" i="21"/>
  <c r="J87" i="21"/>
  <c r="J88" i="21"/>
  <c r="J89" i="21"/>
  <c r="J90" i="21"/>
  <c r="J91" i="21"/>
  <c r="J92" i="21"/>
  <c r="J93" i="21"/>
  <c r="J94" i="21"/>
  <c r="J95" i="21"/>
  <c r="J96" i="21"/>
  <c r="J97" i="21"/>
  <c r="J98" i="21"/>
  <c r="J99" i="21"/>
  <c r="J100" i="21"/>
  <c r="J101" i="21"/>
  <c r="J102" i="21"/>
  <c r="J8" i="21"/>
  <c r="J9" i="21"/>
  <c r="J10" i="21"/>
  <c r="J12" i="21"/>
  <c r="J13" i="21"/>
  <c r="J14" i="21"/>
  <c r="J15" i="21"/>
  <c r="J16" i="21"/>
  <c r="J17" i="21"/>
  <c r="J18" i="21"/>
  <c r="J19" i="21"/>
  <c r="J20" i="21"/>
  <c r="J21" i="21"/>
  <c r="J22" i="21"/>
  <c r="J23" i="21"/>
  <c r="J24" i="21"/>
  <c r="J25" i="21"/>
  <c r="J26" i="21"/>
  <c r="J27" i="21"/>
  <c r="J28" i="21"/>
  <c r="J29" i="21"/>
  <c r="J30" i="21"/>
  <c r="J31" i="21"/>
  <c r="J32" i="21"/>
  <c r="J33" i="21"/>
  <c r="J34" i="21"/>
  <c r="J36" i="21"/>
  <c r="J37" i="21"/>
  <c r="J38" i="21"/>
  <c r="J39" i="21"/>
  <c r="J40" i="21"/>
  <c r="J41" i="21"/>
  <c r="J42" i="21"/>
  <c r="J43" i="21"/>
  <c r="J44" i="21"/>
  <c r="J45" i="21"/>
  <c r="J11" i="21"/>
  <c r="J35" i="21"/>
  <c r="E133" i="4"/>
  <c r="G138" i="4"/>
  <c r="J31" i="4"/>
  <c r="J32" i="4"/>
  <c r="J33" i="4"/>
  <c r="J35" i="4"/>
  <c r="J36" i="4"/>
  <c r="J37" i="4"/>
  <c r="J38" i="4"/>
  <c r="J39" i="4"/>
  <c r="J40" i="4"/>
  <c r="J41" i="4"/>
  <c r="J42" i="4"/>
  <c r="J43" i="4"/>
  <c r="J44" i="4"/>
  <c r="J45" i="4"/>
  <c r="J46" i="4"/>
  <c r="J47" i="4"/>
  <c r="J48" i="4"/>
  <c r="J49" i="4"/>
  <c r="J50" i="4"/>
  <c r="J51" i="4"/>
  <c r="J52" i="4"/>
  <c r="J53" i="4"/>
  <c r="J54" i="4"/>
  <c r="J55" i="4"/>
  <c r="J56" i="4"/>
  <c r="J57"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58" i="4" l="1"/>
  <c r="J34" i="4"/>
  <c r="J30" i="4"/>
  <c r="E92" i="4"/>
  <c r="J92" i="4" s="1"/>
  <c r="D12" i="12"/>
  <c r="A20" i="14" l="1"/>
  <c r="G22" i="4" l="1"/>
  <c r="G98" i="4" l="1"/>
  <c r="G139" i="4"/>
  <c r="J29" i="4"/>
  <c r="J82" i="23"/>
  <c r="J84" i="23"/>
  <c r="J85" i="23"/>
  <c r="J86" i="23"/>
  <c r="J88" i="23"/>
  <c r="J89" i="23"/>
  <c r="J90" i="23"/>
  <c r="J91" i="23"/>
  <c r="J92" i="23"/>
  <c r="J93" i="23"/>
  <c r="J94" i="23"/>
  <c r="J96" i="23"/>
  <c r="J97" i="23"/>
  <c r="J98" i="23"/>
  <c r="J100" i="23"/>
  <c r="J101" i="23"/>
  <c r="J102" i="23"/>
  <c r="J104" i="23"/>
  <c r="J105" i="23"/>
  <c r="J106" i="23"/>
  <c r="J107" i="23"/>
  <c r="J108" i="23"/>
  <c r="J110" i="23"/>
  <c r="J112" i="23"/>
  <c r="J113" i="23"/>
  <c r="J114" i="23"/>
  <c r="J115" i="23"/>
  <c r="J83" i="23"/>
  <c r="J87" i="23"/>
  <c r="J95" i="23"/>
  <c r="J99" i="23"/>
  <c r="J103" i="23"/>
  <c r="J109" i="23"/>
  <c r="J111" i="23"/>
  <c r="A2" i="27"/>
  <c r="A2" i="26"/>
  <c r="C3" i="27"/>
  <c r="A3" i="27"/>
  <c r="C3" i="26"/>
  <c r="A3" i="26"/>
  <c r="C3" i="25"/>
  <c r="A2" i="25"/>
  <c r="E122" i="23"/>
  <c r="E121" i="23"/>
  <c r="E108" i="21"/>
  <c r="C54" i="21"/>
  <c r="J7" i="23"/>
  <c r="J8" i="23"/>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54" i="23"/>
  <c r="J55" i="23"/>
  <c r="J56" i="23"/>
  <c r="J57" i="23"/>
  <c r="J58" i="23"/>
  <c r="J59" i="23"/>
  <c r="J60" i="23"/>
  <c r="J61" i="23"/>
  <c r="J62" i="23"/>
  <c r="J63" i="23"/>
  <c r="J64" i="23"/>
  <c r="J65" i="23"/>
  <c r="J66" i="23"/>
  <c r="J67" i="23"/>
  <c r="J68" i="23"/>
  <c r="H117" i="23"/>
  <c r="J81" i="23"/>
  <c r="H79" i="23"/>
  <c r="C74" i="23"/>
  <c r="C121" i="23" s="1"/>
  <c r="H70" i="23"/>
  <c r="J6" i="23"/>
  <c r="J7" i="21"/>
  <c r="J46" i="21"/>
  <c r="J47" i="21"/>
  <c r="J48" i="21"/>
  <c r="H104" i="21"/>
  <c r="H50" i="21"/>
  <c r="G50" i="21"/>
  <c r="G9" i="14" s="1"/>
  <c r="H9" i="14" s="1"/>
  <c r="G104" i="21"/>
  <c r="G10" i="14" s="1"/>
  <c r="H10" i="14" s="1"/>
  <c r="H59" i="21"/>
  <c r="J61" i="21"/>
  <c r="G2" i="13"/>
  <c r="D3" i="13"/>
  <c r="F16" i="1"/>
  <c r="F15" i="1"/>
  <c r="E104" i="21" l="1"/>
  <c r="B10" i="14" s="1"/>
  <c r="J103" i="21"/>
  <c r="F104" i="21"/>
  <c r="E10" i="14" s="1"/>
  <c r="F10" i="14" s="1"/>
  <c r="F6" i="4"/>
  <c r="J6" i="4" s="1"/>
  <c r="H102" i="4" l="1"/>
  <c r="H27" i="4"/>
  <c r="F7" i="1"/>
  <c r="J3" i="14"/>
  <c r="L3" i="11"/>
  <c r="C9" i="12"/>
  <c r="E9" i="12" s="1"/>
  <c r="I10" i="14"/>
  <c r="J10" i="14" s="1"/>
  <c r="C10" i="14"/>
  <c r="C11" i="14"/>
  <c r="C12" i="14"/>
  <c r="C8" i="14"/>
  <c r="F3" i="12" l="1"/>
  <c r="C7" i="14" l="1"/>
  <c r="C6" i="14"/>
  <c r="F8" i="4" l="1"/>
  <c r="J8" i="4" s="1"/>
  <c r="F9" i="4"/>
  <c r="J9" i="4" s="1"/>
  <c r="F10" i="4"/>
  <c r="J10" i="4" s="1"/>
  <c r="F11" i="4"/>
  <c r="J11" i="4" s="1"/>
  <c r="F12" i="4"/>
  <c r="J12" i="4" s="1"/>
  <c r="F13" i="4"/>
  <c r="J13" i="4" s="1"/>
  <c r="F14" i="4"/>
  <c r="J14" i="4" s="1"/>
  <c r="F15" i="4"/>
  <c r="J15" i="4" s="1"/>
  <c r="F16" i="4"/>
  <c r="J16" i="4" s="1"/>
  <c r="E134" i="4"/>
  <c r="B8" i="14" s="1"/>
  <c r="E93" i="4"/>
  <c r="B7" i="14" s="1"/>
  <c r="E17" i="4"/>
  <c r="B6" i="14" s="1"/>
  <c r="F7" i="4"/>
  <c r="J7" i="4" s="1"/>
  <c r="F13" i="1"/>
  <c r="C21" i="4" s="1"/>
  <c r="C97" i="4" s="1"/>
  <c r="C138" i="4" s="1"/>
  <c r="H134" i="4"/>
  <c r="G134" i="4"/>
  <c r="G8" i="14" s="1"/>
  <c r="H8" i="14" s="1"/>
  <c r="J133" i="4"/>
  <c r="J132" i="4"/>
  <c r="J131" i="4"/>
  <c r="J130" i="4"/>
  <c r="J129" i="4"/>
  <c r="J128" i="4"/>
  <c r="J127" i="4"/>
  <c r="J126" i="4"/>
  <c r="J125" i="4"/>
  <c r="J124" i="4"/>
  <c r="J123" i="4"/>
  <c r="J122" i="4"/>
  <c r="J121" i="4"/>
  <c r="J120" i="4"/>
  <c r="J119" i="4"/>
  <c r="J118" i="4"/>
  <c r="J117" i="4"/>
  <c r="J116" i="4"/>
  <c r="J115" i="4"/>
  <c r="J114" i="4"/>
  <c r="J113" i="4"/>
  <c r="J111" i="4"/>
  <c r="J110" i="4"/>
  <c r="J109" i="4"/>
  <c r="J108" i="4"/>
  <c r="J107" i="4"/>
  <c r="J106" i="4"/>
  <c r="J105" i="4"/>
  <c r="H93" i="4"/>
  <c r="G93" i="4"/>
  <c r="G7" i="14" s="1"/>
  <c r="H7" i="14" s="1"/>
  <c r="C20" i="11"/>
  <c r="C108" i="21"/>
  <c r="F22" i="1"/>
  <c r="F21" i="1"/>
  <c r="F20" i="1"/>
  <c r="F19" i="1"/>
  <c r="F9" i="1"/>
  <c r="J112" i="4" l="1"/>
  <c r="B2" i="23"/>
  <c r="B77" i="23" s="1"/>
  <c r="B2" i="21"/>
  <c r="F134" i="4"/>
  <c r="E8" i="14" s="1"/>
  <c r="F8" i="14" s="1"/>
  <c r="J104" i="4"/>
  <c r="F93" i="4"/>
  <c r="E7" i="14" s="1"/>
  <c r="F7" i="14" s="1"/>
  <c r="F17" i="4"/>
  <c r="E6" i="14" s="1"/>
  <c r="F6" i="14" s="1"/>
  <c r="C7" i="12" l="1"/>
  <c r="E7" i="12" s="1"/>
  <c r="I8" i="14"/>
  <c r="J8" i="14" s="1"/>
  <c r="I7" i="14"/>
  <c r="J7" i="14" s="1"/>
  <c r="G17" i="4"/>
  <c r="F5" i="1"/>
  <c r="L6" i="11" l="1"/>
  <c r="C6" i="12"/>
  <c r="E6" i="12" s="1"/>
  <c r="J6" i="21"/>
  <c r="H17" i="4"/>
  <c r="F50" i="21" l="1"/>
  <c r="B57" i="21"/>
  <c r="E9" i="14" l="1"/>
  <c r="F9" i="14" s="1"/>
  <c r="F6" i="1"/>
  <c r="G6" i="14"/>
  <c r="H6" i="14" s="1"/>
  <c r="A2" i="14"/>
  <c r="B2" i="13"/>
  <c r="A2" i="12"/>
  <c r="C2" i="11"/>
  <c r="I9" i="14" l="1"/>
  <c r="J9" i="14" s="1"/>
  <c r="C8" i="12"/>
  <c r="E8" i="12" s="1"/>
  <c r="H4" i="21"/>
  <c r="H4" i="23"/>
  <c r="H4" i="4"/>
  <c r="B2" i="4"/>
  <c r="G8" i="11" l="1"/>
  <c r="L8" i="11" s="1"/>
  <c r="J12" i="28"/>
  <c r="K12" i="28" s="1"/>
  <c r="B25" i="4"/>
  <c r="B100" i="4"/>
  <c r="C5" i="12" l="1"/>
  <c r="I6" i="14"/>
  <c r="J6" i="14" s="1"/>
  <c r="E5" i="12" l="1"/>
  <c r="L5" i="11" l="1"/>
  <c r="D11" i="28" l="1"/>
  <c r="D25" i="28" l="1"/>
  <c r="B11" i="28" s="1"/>
  <c r="J8" i="28" s="1"/>
  <c r="K8" i="28" s="1"/>
  <c r="J49" i="21" l="1"/>
  <c r="E50" i="21"/>
  <c r="B9" i="14" s="1"/>
  <c r="E69" i="23"/>
  <c r="B11" i="14"/>
  <c r="E116" i="23"/>
  <c r="B12" i="14"/>
  <c r="B13" i="14" l="1"/>
  <c r="J69" i="23"/>
  <c r="F70" i="23"/>
  <c r="E11" i="14"/>
  <c r="F11" i="14"/>
  <c r="C10" i="12" s="1"/>
  <c r="E10" i="12" l="1"/>
  <c r="G70" i="23" l="1"/>
  <c r="G11" i="14" s="1"/>
  <c r="I11" i="14" l="1"/>
  <c r="H11" i="14"/>
  <c r="J11" i="14" l="1"/>
  <c r="J116" i="23"/>
  <c r="F117" i="23"/>
  <c r="E12" i="14" s="1"/>
  <c r="E13" i="14" l="1"/>
  <c r="L7" i="22" s="1"/>
  <c r="F12" i="14"/>
  <c r="F13" i="14" l="1"/>
  <c r="C11" i="12"/>
  <c r="C12" i="12" l="1"/>
  <c r="E11" i="12"/>
  <c r="E14" i="12" s="1"/>
  <c r="F4" i="13" s="1"/>
  <c r="G8" i="29"/>
  <c r="G11" i="29" s="1"/>
  <c r="G13" i="29" s="1"/>
  <c r="E9" i="11"/>
  <c r="G9" i="11" s="1"/>
  <c r="L9" i="11" s="1"/>
  <c r="F28" i="28"/>
  <c r="D28" i="28" l="1"/>
  <c r="B19" i="28" s="1"/>
  <c r="J15" i="28" s="1"/>
  <c r="K15" i="28" s="1"/>
  <c r="K23" i="28" s="1"/>
  <c r="F5" i="13" s="1"/>
  <c r="F6" i="13" s="1"/>
  <c r="F9" i="13" s="1"/>
  <c r="D19" i="28"/>
  <c r="G29" i="29"/>
  <c r="F20" i="13" s="1"/>
  <c r="G32" i="29"/>
  <c r="G35" i="29" s="1"/>
  <c r="F10" i="13" l="1"/>
  <c r="F14" i="13" s="1"/>
  <c r="F11" i="13" l="1"/>
  <c r="F21" i="13"/>
  <c r="F22" i="13" l="1"/>
  <c r="G117" i="23"/>
  <c r="G12" i="14" s="1"/>
  <c r="G13" i="14" l="1"/>
  <c r="I12" i="14"/>
  <c r="H12" i="14"/>
  <c r="H13" i="14" s="1"/>
  <c r="J12" i="14" l="1"/>
  <c r="J13" i="14" s="1"/>
  <c r="I13" i="14"/>
</calcChain>
</file>

<file path=xl/sharedStrings.xml><?xml version="1.0" encoding="utf-8"?>
<sst xmlns="http://schemas.openxmlformats.org/spreadsheetml/2006/main" count="1264" uniqueCount="869">
  <si>
    <t>A</t>
  </si>
  <si>
    <t>B</t>
  </si>
  <si>
    <t>C</t>
  </si>
  <si>
    <t>D</t>
  </si>
  <si>
    <t>E</t>
  </si>
  <si>
    <t>F</t>
  </si>
  <si>
    <t>G</t>
  </si>
  <si>
    <t>…………………..</t>
  </si>
  <si>
    <t>H</t>
  </si>
  <si>
    <t>KESİNTİLER VE MAHSUPLAR</t>
  </si>
  <si>
    <t>Kesintiler ve Mahsuplar Toplamı</t>
  </si>
  <si>
    <t>Yükleniciye Ödenecek Tutar  ( G - H )</t>
  </si>
  <si>
    <t>TOPLAM</t>
  </si>
  <si>
    <t>Hakediş No:</t>
  </si>
  <si>
    <t xml:space="preserve">HAKEDİŞ ÖZETİ  </t>
  </si>
  <si>
    <t>Sıra No</t>
  </si>
  <si>
    <t>İmalatın Cinsi</t>
  </si>
  <si>
    <t>Poz No</t>
  </si>
  <si>
    <t>EK-1</t>
  </si>
  <si>
    <t>HAKEDİŞ RAPORU</t>
  </si>
  <si>
    <t xml:space="preserve">Tarihi           </t>
  </si>
  <si>
    <t>:</t>
  </si>
  <si>
    <t>No.su</t>
  </si>
  <si>
    <t>Uygulama Yılı</t>
  </si>
  <si>
    <t>Sözleşme Bedeli</t>
  </si>
  <si>
    <t>İhale Tarihi</t>
  </si>
  <si>
    <t>Sözleşme Tarihi ve No.su</t>
  </si>
  <si>
    <t xml:space="preserve">..../..../....       ........................... sayı </t>
  </si>
  <si>
    <t>Sözleşmenin Sayıştayca Tescil Tarihi, No.su</t>
  </si>
  <si>
    <t>Tescilin Yükleniciye Tebliğ Tarihi</t>
  </si>
  <si>
    <t>..../..../....</t>
  </si>
  <si>
    <t>İşyeri Teslim Tarihi</t>
  </si>
  <si>
    <t>Sözleşmeye Göre İşin Süresi</t>
  </si>
  <si>
    <t>Sözleşmeye Göre İş Bitim Tarihi</t>
  </si>
  <si>
    <t>Verilen Avanslar Toplamı</t>
  </si>
  <si>
    <t>Mahsubu Yapılan Avansın Toplam Tutarı</t>
  </si>
  <si>
    <t>Ek Sözleşme Bedeli</t>
  </si>
  <si>
    <t>........................</t>
  </si>
  <si>
    <t>Süre Uzatım Kararlarının</t>
  </si>
  <si>
    <t>Sayısı</t>
  </si>
  <si>
    <t>Verilen Süre</t>
  </si>
  <si>
    <t>..............</t>
  </si>
  <si>
    <t>...................</t>
  </si>
  <si>
    <t>DİZİ PUSULASI</t>
  </si>
  <si>
    <t>Belgenin Cinsi</t>
  </si>
  <si>
    <t>Adedi</t>
  </si>
  <si>
    <t>İhzarat Tespit Tutanağı</t>
  </si>
  <si>
    <t>Gecikme Cezası Tutanağı</t>
  </si>
  <si>
    <t>Teknik Personel Bulundurmama Ceza Tutanağı</t>
  </si>
  <si>
    <t>Eksik Makine Ceza Tutanağı</t>
  </si>
  <si>
    <t>Kısmi Gecikme Cezası Tutanağı</t>
  </si>
  <si>
    <t>Özel Kesinti Tutanağı</t>
  </si>
  <si>
    <t>İşyeri Teslim Tutanağı</t>
  </si>
  <si>
    <t>AÇIKLAMA</t>
  </si>
  <si>
    <t>Fiyat Farkı Hesap Tablosu</t>
  </si>
  <si>
    <t>Hakediş Özeti</t>
  </si>
  <si>
    <t>Hakediş İcmali</t>
  </si>
  <si>
    <t>Hakediş Raporu Son Sayfası</t>
  </si>
  <si>
    <t>Sıra
No</t>
  </si>
  <si>
    <t>D.H.B.Y.
Örnek No</t>
  </si>
  <si>
    <t>Yeni Birim Fiyat Tespit Tutanağı</t>
  </si>
  <si>
    <t>Personel / İşçi Ücret Alacakları Tutanağı ve Bordrosu</t>
  </si>
  <si>
    <t>İşyeri Sigorta Poliçesi / Zeyilname</t>
  </si>
  <si>
    <t>Sayfa
No</t>
  </si>
  <si>
    <t xml:space="preserve">D.H.B.Y. Örnek No : 28/2 </t>
  </si>
  <si>
    <t>Metraj İcmali (Yeşil Defter)</t>
  </si>
  <si>
    <t>D.H.B.Y. Örnek No : 28/6-a</t>
  </si>
  <si>
    <t xml:space="preserve">D.H.B.Y. Örnek No : 28/7 </t>
  </si>
  <si>
    <t>28/1</t>
  </si>
  <si>
    <t>28/2</t>
  </si>
  <si>
    <t>28/3</t>
  </si>
  <si>
    <t>28/4</t>
  </si>
  <si>
    <t>28/7</t>
  </si>
  <si>
    <t>28/8</t>
  </si>
  <si>
    <t>28/9</t>
  </si>
  <si>
    <t>28/5 (a) / (b)</t>
  </si>
  <si>
    <t>28/6 (a) / (b)</t>
  </si>
  <si>
    <t>D.H.B.Y. Örnek No : 28/9</t>
  </si>
  <si>
    <t>F= (B-D)</t>
  </si>
  <si>
    <t xml:space="preserve">Sözleşme Eki Teklif Birim Fiyat Cetveli </t>
  </si>
  <si>
    <t>Geçici veya Kesin Muayene Kabul Komisyonu Tutanağı</t>
  </si>
  <si>
    <t>İş Programı Grubu 
% si  (*)</t>
  </si>
  <si>
    <t>Yapılan İş</t>
  </si>
  <si>
    <t xml:space="preserve">Toplam İmalat tutarı </t>
  </si>
  <si>
    <t xml:space="preserve"> Önceki Hakediş Toplam İmalat
% si</t>
  </si>
  <si>
    <t xml:space="preserve"> Önceki Hakediş Toplam İmalat Tutarı</t>
  </si>
  <si>
    <t xml:space="preserve">Bu Hakediş İmalat 
% si </t>
  </si>
  <si>
    <t>Bu  Hakediş İmalat Tutarı</t>
  </si>
  <si>
    <t>İşin Cinsi</t>
  </si>
  <si>
    <t>HAKEDİŞ İCMALİ</t>
  </si>
  <si>
    <t>Bir Önceki Hakedişin Toplam tutarı</t>
  </si>
  <si>
    <t>Bu Hakedişin Tutarı ( C - D )</t>
  </si>
  <si>
    <t>Tahakkuk Tutarı</t>
  </si>
  <si>
    <t>Yapılan İşin / Hizmetin Adı</t>
  </si>
  <si>
    <t>Yapılan İşin / Hizmetin Etüt / Proje No.su</t>
  </si>
  <si>
    <t>Yüklenicinin Adı / Ticari Unvanı</t>
  </si>
  <si>
    <t xml:space="preserve">                                               </t>
  </si>
  <si>
    <t xml:space="preserve">    belgelerin karşısına ( - ) işareti konulur.</t>
  </si>
  <si>
    <t xml:space="preserve">             </t>
  </si>
  <si>
    <t>Ağırlık Oranları Temsil Katsayıları</t>
  </si>
  <si>
    <t>Ödenek Dilimleri ve İmalat / İhzarat İş Programı (Varsa Revize İş Programı)</t>
  </si>
  <si>
    <t>Hakediş
Tarihi</t>
  </si>
  <si>
    <t>Avans Kesintisi  (d)</t>
  </si>
  <si>
    <t xml:space="preserve">Hakediş Tutarı (Kümülatif)
(a)              </t>
  </si>
  <si>
    <t>Yapılan İşler Listesi</t>
  </si>
  <si>
    <t>2- Karşılarında DHBY örnek numarası bulunan belgeler için ekli formlar kullanılacaktır.</t>
  </si>
  <si>
    <t>3- Dizi pusulasında yer almayan ancak hakediş raporuna eklenmesi gerekli görülen belgeler boş satırlara ilave edilecektir.</t>
  </si>
  <si>
    <t xml:space="preserve">1- Yukarıdaki belgelerden, işin / hizmetin durumuna göre gerekli olanlar hakediş raporuna eklenir. Eklenmesi gerekli olmayan         </t>
  </si>
  <si>
    <t>D.H.B.Y.Örnek No : 28</t>
  </si>
  <si>
    <t>Gerçekleşen Toplam İmalat % si</t>
  </si>
  <si>
    <t>...............</t>
  </si>
  <si>
    <t xml:space="preserve"> d) Sosyal Sigortalar Kurumu Kesintisi</t>
  </si>
  <si>
    <t xml:space="preserve"> e) İdare Makinesi Kiraları</t>
  </si>
  <si>
    <t>KDV  ( E x % 18 )</t>
  </si>
  <si>
    <t>*</t>
  </si>
  <si>
    <t xml:space="preserve">                            </t>
  </si>
  <si>
    <t>METRAJ İCMALİ
(Yeşil Defter)</t>
  </si>
  <si>
    <r>
      <t xml:space="preserve">    </t>
    </r>
    <r>
      <rPr>
        <u/>
        <sz val="11"/>
        <rFont val="Arial"/>
        <family val="2"/>
      </rPr>
      <t>Tarih</t>
    </r>
  </si>
  <si>
    <t xml:space="preserve"> f) Gecikme Cezası </t>
  </si>
  <si>
    <t>Yüklenici</t>
  </si>
  <si>
    <t>Kontrol</t>
  </si>
  <si>
    <t>YAPILAN İŞLER LİSTESİ
(Anahtar Teslimi Götürü Bedel İş / Götürü Bedel Hizmet İçin)</t>
  </si>
  <si>
    <r>
      <t>İş Tutarı</t>
    </r>
    <r>
      <rPr>
        <b/>
        <sz val="12"/>
        <rFont val="Arial"/>
        <family val="2"/>
      </rPr>
      <t xml:space="preserve">
(a)</t>
    </r>
  </si>
  <si>
    <r>
      <t>Toplam</t>
    </r>
    <r>
      <rPr>
        <b/>
        <sz val="12"/>
        <rFont val="Arial"/>
        <family val="2"/>
      </rPr>
      <t xml:space="preserve">
(a+b)</t>
    </r>
  </si>
  <si>
    <t>İmalatın Toplam % Miktarı</t>
  </si>
  <si>
    <t>Gerçekleşme oranı % si</t>
  </si>
  <si>
    <t>Bir Önceki Hakediş % Miktarı</t>
  </si>
  <si>
    <t>Bu Hakediş %  Miktarı</t>
  </si>
  <si>
    <t>16.002/MK</t>
  </si>
  <si>
    <t>16.003/MK</t>
  </si>
  <si>
    <t>16.013/MK</t>
  </si>
  <si>
    <t>16.035/1/MK</t>
  </si>
  <si>
    <t>16.058/1A</t>
  </si>
  <si>
    <t>17.155/MK</t>
  </si>
  <si>
    <t>18.071/1/MK</t>
  </si>
  <si>
    <t>18.071/2/MK</t>
  </si>
  <si>
    <t>18.071/3/MK</t>
  </si>
  <si>
    <t>18.183/1</t>
  </si>
  <si>
    <t>18.185/1</t>
  </si>
  <si>
    <t>18.212/3/MK</t>
  </si>
  <si>
    <t>18.246/04</t>
  </si>
  <si>
    <t>18.460/ 2</t>
  </si>
  <si>
    <t>18.465/3</t>
  </si>
  <si>
    <t>19.050/1</t>
  </si>
  <si>
    <t>22.001/A</t>
  </si>
  <si>
    <t>22.009/3C</t>
  </si>
  <si>
    <t>23.241/A</t>
  </si>
  <si>
    <t>23.243/14A</t>
  </si>
  <si>
    <t>23.244/A1</t>
  </si>
  <si>
    <t>23.244/F1</t>
  </si>
  <si>
    <t>25.015/1</t>
  </si>
  <si>
    <t>25.048/1A</t>
  </si>
  <si>
    <t>25.048/3</t>
  </si>
  <si>
    <t>26.005/030A</t>
  </si>
  <si>
    <t>26.006/088A</t>
  </si>
  <si>
    <t>26.008/050A</t>
  </si>
  <si>
    <t>26.021/MK</t>
  </si>
  <si>
    <t>26.042/MK</t>
  </si>
  <si>
    <t>26.151/MK</t>
  </si>
  <si>
    <t>26.622/C</t>
  </si>
  <si>
    <t>27.101/MK</t>
  </si>
  <si>
    <t>27.528/3</t>
  </si>
  <si>
    <t>27.531/MK</t>
  </si>
  <si>
    <t>27.535/MK</t>
  </si>
  <si>
    <t>27.560/7</t>
  </si>
  <si>
    <t>27.578/MK</t>
  </si>
  <si>
    <t>27.581/MK</t>
  </si>
  <si>
    <t>27.583/MK</t>
  </si>
  <si>
    <t>A04</t>
  </si>
  <si>
    <t>A08</t>
  </si>
  <si>
    <t>A10</t>
  </si>
  <si>
    <t>B16</t>
  </si>
  <si>
    <t>C02</t>
  </si>
  <si>
    <t>C04</t>
  </si>
  <si>
    <t>15.001/1A</t>
  </si>
  <si>
    <t>15.001/2B</t>
  </si>
  <si>
    <t>15.006/2B</t>
  </si>
  <si>
    <t>Fiilen işe başlama  Tarihi</t>
  </si>
  <si>
    <t>………………..</t>
  </si>
  <si>
    <t>…………………</t>
  </si>
  <si>
    <t>Sözleşme Artış</t>
  </si>
  <si>
    <t xml:space="preserve"> Onayının Tarih / No.su</t>
  </si>
  <si>
    <t>Toplam Sözleşme Bedeli</t>
  </si>
  <si>
    <t>İş Bitim Tarihi</t>
  </si>
  <si>
    <t>………………………</t>
  </si>
  <si>
    <t>……………………..</t>
  </si>
  <si>
    <t>………………………..</t>
  </si>
  <si>
    <t>……………………….</t>
  </si>
  <si>
    <t xml:space="preserve">          …………...</t>
  </si>
  <si>
    <t>Hakediş No       :</t>
  </si>
  <si>
    <t>Sayfa No      :</t>
  </si>
  <si>
    <t>KONTROL</t>
  </si>
  <si>
    <t>YÜKLENİCİ</t>
  </si>
  <si>
    <t>ONAYLAYAN</t>
  </si>
  <si>
    <t>YEKÜN TOPLAM</t>
  </si>
  <si>
    <t>pursantaj düzeltme</t>
  </si>
  <si>
    <t xml:space="preserve"> a) Gelir / Kurumlar Vergisi ( E x % 3 )</t>
  </si>
  <si>
    <t xml:space="preserve">Sayfa No: </t>
  </si>
  <si>
    <t xml:space="preserve">Hakediş No:       </t>
  </si>
  <si>
    <t>İLAN TUTANAĞI</t>
  </si>
  <si>
    <t xml:space="preserve">     Bu ilan süresince yüklenici firmadan alacağı olan şantiye personelinin kontrollüğümüze müracat etmeleri istenmiştir.</t>
  </si>
  <si>
    <t>seviyesinde olduğu tarafımızdan tespit edilmiştir.</t>
  </si>
  <si>
    <t>ŞUBE MÜDÜRÜ</t>
  </si>
  <si>
    <t>Toplam:</t>
  </si>
  <si>
    <t>TARİHİNE KADAR YAPILAN İŞİN / HİZMETİN</t>
  </si>
  <si>
    <t>Kontroller</t>
  </si>
  <si>
    <t>kalan</t>
  </si>
  <si>
    <t xml:space="preserve">      İş bu ilan tutanağı tarafımızdan tanzim ve imza edilmiştir.</t>
  </si>
  <si>
    <t>Pursantaj düzeltme</t>
  </si>
  <si>
    <t xml:space="preserve">Ocak taşı ile 250 dozlu çimento harçlı kargir inşaat yapılması </t>
  </si>
  <si>
    <t>Elektrik Tesisatı İmalatları</t>
  </si>
  <si>
    <t>Trafo Tesisatı İmalatları</t>
  </si>
  <si>
    <t xml:space="preserve">     İnşaatın şuan % </t>
  </si>
  <si>
    <t>28/10</t>
  </si>
  <si>
    <t>Toplam Tutar (A+B)</t>
  </si>
  <si>
    <t xml:space="preserve"> b) Damga Vergisi  ( E x 0.00825 )</t>
  </si>
  <si>
    <t>Sayfa No :</t>
  </si>
  <si>
    <t xml:space="preserve">Hakediş No: </t>
  </si>
  <si>
    <t>Sayfa No:</t>
  </si>
  <si>
    <t>C= (AxB)/100</t>
  </si>
  <si>
    <t>E= (AxD)/100</t>
  </si>
  <si>
    <t>G= (AxF)/100</t>
  </si>
  <si>
    <t>Sözleşme Fiyatları ile Yapılan İş / Hizmet Tutarı</t>
  </si>
  <si>
    <t xml:space="preserve"> g) Avans Mahsubu</t>
  </si>
  <si>
    <r>
      <rPr>
        <b/>
        <sz val="12"/>
        <rFont val="Arial"/>
        <family val="2"/>
        <charset val="162"/>
      </rPr>
      <t xml:space="preserve"> </t>
    </r>
    <r>
      <rPr>
        <b/>
        <u/>
        <sz val="12"/>
        <rFont val="Arial"/>
        <family val="2"/>
        <charset val="162"/>
      </rPr>
      <t>DENETİM ELEMANLARI</t>
    </r>
    <r>
      <rPr>
        <b/>
        <sz val="12"/>
        <rFont val="Arial"/>
        <family val="2"/>
        <charset val="162"/>
      </rPr>
      <t xml:space="preserve">
</t>
    </r>
  </si>
  <si>
    <t>TUTANAKTIR</t>
  </si>
  <si>
    <t xml:space="preserve">      İş bu tutanak tarafımızdan tanzim ve imza edilmiştir.</t>
  </si>
  <si>
    <t>İşçiler</t>
  </si>
  <si>
    <t>İmza</t>
  </si>
  <si>
    <t>1.</t>
  </si>
  <si>
    <t>2.</t>
  </si>
  <si>
    <t>3.</t>
  </si>
  <si>
    <t xml:space="preserve">Fiyat Farkı Tutarı </t>
  </si>
  <si>
    <t>Pursantaj Düzeltme</t>
  </si>
  <si>
    <t>ELEKTRİK TESİSATI İŞLERİ</t>
  </si>
  <si>
    <t>TRAFO TESİSATI İŞLERİ</t>
  </si>
  <si>
    <t>Bu Hakediş 
%  Miktarı</t>
  </si>
  <si>
    <t>1 NOLU HAKEDİŞ İNCELEME FÖYÜ</t>
  </si>
  <si>
    <t>İSTENEN EVRAK</t>
  </si>
  <si>
    <t>Dilekçe</t>
  </si>
  <si>
    <t>Vergi Borcu Yoktur Yazısı</t>
  </si>
  <si>
    <t>SSK Borcu Yoktur Yazısı</t>
  </si>
  <si>
    <t>Tespit Tutanağı</t>
  </si>
  <si>
    <t>Hakediş Sayfaları</t>
  </si>
  <si>
    <t>All Risk Sigortası</t>
  </si>
  <si>
    <t>İş Programı</t>
  </si>
  <si>
    <t>Teknik Personel Taahhütnamesi</t>
  </si>
  <si>
    <t>Fotoğraf</t>
  </si>
  <si>
    <t>Sözleşme Fotokopisi</t>
  </si>
  <si>
    <t>İhale Komisyonu Kararı</t>
  </si>
  <si>
    <t>İş Yeri Teslim Tutanağı</t>
  </si>
  <si>
    <t>Beton-Demir Test Tutanağı</t>
  </si>
  <si>
    <t>Beton Numune Sonuç Raporları</t>
  </si>
  <si>
    <t>Kalıp Demir İskele Teslim Tutanağı</t>
  </si>
  <si>
    <t>Sözleşmesinin Fiyat Farkı Konulu Sayfa Fotokopisi</t>
  </si>
  <si>
    <t>İşçi İşyeri Temsilcisi Tutanağı</t>
  </si>
  <si>
    <t xml:space="preserve">İlan Tutanağı ( Teknik Personel ve İşçi İşyeri Temsilcisi İmzalı ) </t>
  </si>
  <si>
    <t>İmza Sirküleri ve Vekaletname</t>
  </si>
  <si>
    <t>YAPI DENETİM ELEMANLARI</t>
  </si>
  <si>
    <t>İNCELEYEN</t>
  </si>
  <si>
    <t>ARA HAKEDİŞ İNCELEME FÖYÜ</t>
  </si>
  <si>
    <t>%10 Oluru</t>
  </si>
  <si>
    <t>%10 Yaklaşık Maliyeti</t>
  </si>
  <si>
    <t>Ödemesi Yapılan Hakediş Kapakları</t>
  </si>
  <si>
    <t>Bir Önceki Hakedişin Hakediş Raporu</t>
  </si>
  <si>
    <t>Fiyat Farkı Varsa Ek Kesin Teminatın Fotokopisi</t>
  </si>
  <si>
    <t>KESİN HESAP İNCELEME FÖYÜ</t>
  </si>
  <si>
    <t>Geçici Kabul Tutanağı</t>
  </si>
  <si>
    <t>Kesin Hesap Fişi ve Ödemeler İcmali</t>
  </si>
  <si>
    <t>Teklif Mektubu</t>
  </si>
  <si>
    <t>İşçi-İşyeri Temsilcisi Tutanağı</t>
  </si>
  <si>
    <t>Teminat Mektubu</t>
  </si>
  <si>
    <t>NOLU HAKEDİŞ</t>
  </si>
  <si>
    <t>TARİH ve</t>
  </si>
  <si>
    <r>
      <t xml:space="preserve">Fiyat Farkı Tutarı </t>
    </r>
    <r>
      <rPr>
        <b/>
        <sz val="12"/>
        <rFont val="Arial"/>
        <family val="2"/>
      </rPr>
      <t>(b)</t>
    </r>
  </si>
  <si>
    <t>Uygulama Ayları Hakediş Tutarı
(c=a-b)</t>
  </si>
  <si>
    <t>Bir Önceki Hakediş Tutarı(Kümülatif) (b)</t>
  </si>
  <si>
    <t>Dönem Fiyat Farkı Katsayısı
(f)</t>
  </si>
  <si>
    <t>Uygulama Ayları Fiyat Farkına Esas Tutar
( e )</t>
  </si>
  <si>
    <t>Dönem Fiyat Farkı Tutarı 
(g)</t>
  </si>
  <si>
    <t>Toplam Hakediş
Tutarı
(c+g)</t>
  </si>
  <si>
    <t>38.1</t>
  </si>
  <si>
    <t>İNCELEYENLER</t>
  </si>
  <si>
    <t>Songül BAYRAK</t>
  </si>
  <si>
    <t>İmar ve Kentsel</t>
  </si>
  <si>
    <t xml:space="preserve"> İyileştirme Müdürü</t>
  </si>
  <si>
    <t>…. / …. / 2012</t>
  </si>
  <si>
    <t>Arzu G. ÜNSAL</t>
  </si>
  <si>
    <t>Yap.Şb.Md.</t>
  </si>
  <si>
    <t xml:space="preserve"> h) Bu Hakedişle Ödenen Fiyat Farkı Teminat Kesintisi (Bx0,06)</t>
  </si>
  <si>
    <t xml:space="preserve"> c) KDV Tevkifatı ( F x 1/5)</t>
  </si>
  <si>
    <t xml:space="preserve">Araklı Çankaya Yibo Lojman İnşaatı İşi </t>
  </si>
  <si>
    <t>Elvan HAMZAÇEBİ</t>
  </si>
  <si>
    <t xml:space="preserve">  İnş.Müh.</t>
  </si>
  <si>
    <t>1(Bir)</t>
  </si>
  <si>
    <t>15.140/İB-2</t>
  </si>
  <si>
    <t xml:space="preserve">Basınç dayanımı C 8/10 (200 dozlu) olan demirsiz beton </t>
  </si>
  <si>
    <t xml:space="preserve">Basınç dayanımı C 12/15 (250 dozlu) olan demirsiz beton </t>
  </si>
  <si>
    <t xml:space="preserve">Oluklu kiremitle çatı örtüsü yapılması </t>
  </si>
  <si>
    <t xml:space="preserve">Mahya kiremiti ile mahya yapılması </t>
  </si>
  <si>
    <t>19.055/C1Analiz</t>
  </si>
  <si>
    <t>22.301/İB-3</t>
  </si>
  <si>
    <t xml:space="preserve">Meşe kaplamalı mutfak tezgah altı dolabı yapılması </t>
  </si>
  <si>
    <t>22.302/İB-3</t>
  </si>
  <si>
    <t xml:space="preserve">Meşe kaplamalı mutfak tezgah üstü dolabı yapılması </t>
  </si>
  <si>
    <t xml:space="preserve">Demir imalatın bir kat antipas, iki kat sentetik boya ile boyanması </t>
  </si>
  <si>
    <t xml:space="preserve">Yeni sıva yüzeylerine beyaz üç kat kireç badana yapılması </t>
  </si>
  <si>
    <t>26.206/C1</t>
  </si>
  <si>
    <t>26.702/C1</t>
  </si>
  <si>
    <t>26.752/C1</t>
  </si>
  <si>
    <t xml:space="preserve">Kireç - çimento karışımı harçla düz sıva yapılması </t>
  </si>
  <si>
    <t xml:space="preserve">Kireç-çimento karışımı harçla tavan sıvası yapılması </t>
  </si>
  <si>
    <t xml:space="preserve">Silikon esaslı dış cephe boyası (su bazlı) yapılması </t>
  </si>
  <si>
    <t xml:space="preserve">200 kg çimento dozlu tesviye tabakası yapılması </t>
  </si>
  <si>
    <t xml:space="preserve">2.5 cm kalınlığında 400 kg çimento dozlu şap yapılması </t>
  </si>
  <si>
    <t xml:space="preserve">Kapı kolu ve aynalarının yerine takılması (Kromajlı) </t>
  </si>
  <si>
    <t xml:space="preserve">Menteşenin yerine takılması </t>
  </si>
  <si>
    <t>MSB.608/A</t>
  </si>
  <si>
    <t xml:space="preserve">Kaba Sıva Yapılması </t>
  </si>
  <si>
    <t>MSB.660/A1</t>
  </si>
  <si>
    <t>ÖZEL 1</t>
  </si>
  <si>
    <t xml:space="preserve">PASLANMAZ ÇELİK KORKULUK VE KÜPEŞTE YAPILMASI </t>
  </si>
  <si>
    <t>ÖZEL 2</t>
  </si>
  <si>
    <t xml:space="preserve">LAMİNAT PARKE YAPILMASI </t>
  </si>
  <si>
    <t>ÖZEL 3</t>
  </si>
  <si>
    <t xml:space="preserve">PARAPET ÜZERİ PASLANMAZ ÇELİK KORKULUK </t>
  </si>
  <si>
    <t>17.002/MK-Anl.</t>
  </si>
  <si>
    <t xml:space="preserve">100 kg ağırlığa kadar ocak taşı ile istifli taş dolgu yapılması </t>
  </si>
  <si>
    <t xml:space="preserve">Ocak taşı ile blokaj yapılması </t>
  </si>
  <si>
    <t xml:space="preserve">Makina ile çimento harçlı kargir ve horasan inşaatın yıkılması </t>
  </si>
  <si>
    <t xml:space="preserve">Makina ile demirli ve demirsiz beton inşaatın yıkılması </t>
  </si>
  <si>
    <t>18.460/2A</t>
  </si>
  <si>
    <t xml:space="preserve">Moloz taş duvar yüzeylerine gömme oluklu derz yapılması </t>
  </si>
  <si>
    <t>N.YF.31</t>
  </si>
  <si>
    <t xml:space="preserve">Yıkım molozu nakli </t>
  </si>
  <si>
    <t>NAKL.01</t>
  </si>
  <si>
    <t xml:space="preserve">Yumuşak ve sert toprak nakli </t>
  </si>
  <si>
    <t xml:space="preserve">Makine ile her derinlikte yumuşak ve sert toprağın kazılması
(gevşek ve bitkisel toprak, gevşek silt, kum, kil, siltli kil, kumlu kil, gevşek kil, killi kum ve çakıl, kürekle atılabilen taşlı toprak ve benzeri zeminler) </t>
  </si>
  <si>
    <t xml:space="preserve">Makine ile her derinlikte yumuşak ve sert toprağın kazılması(gevşek ve bitkisel toprak, gevşek silt, kum, kil, siltli kil, kumlu kil, gevşek kil, killi kum ve çakıl, kürekle atılabilen taşlı toprak ve benzeri zeminler) </t>
  </si>
  <si>
    <t xml:space="preserve">Stabilize malzemenin (08 008) titreşimli silindirle sıkıştırılarak
yapı inşaatları, sınai imalatlar ve saha betonları altında temel ve temel altı dolgusu yapılması </t>
  </si>
  <si>
    <t xml:space="preserve">Stabilize malzemenin (08 008) titreşimli silindirle sıkıştırılarakyapı inşaatları, sınai imalatlar ve saha betonları altında temel ve temel altı dolgusu yapılması </t>
  </si>
  <si>
    <t xml:space="preserve">Satın alınan ve beton pompasıyla basılan, basınç dayanım
sınıfı C 20/25 (BS 20) olan hazır beton dökülmesi (beton nakli dahil) </t>
  </si>
  <si>
    <t xml:space="preserve">Yatay delikli fabrika tuğlası (19x19x8,5 cm) ile 250 doz
çimento harçlı yarım tuğla duvar yapılması </t>
  </si>
  <si>
    <t xml:space="preserve">3 mm kalınlıkta plastomer esaslı cam tülü taşıyıcılı ve
3 mm kalınlıkta plastomer esaslı polyester keçe taşıyıcılı polimer bitümlü örtülerle iki katlı su yalıtımı yapılması (temellerde 2 m'ye kadar su basıncına karşı, yüzme havuzu, su depoları ve benzeri </t>
  </si>
  <si>
    <t xml:space="preserve">Düz yüzeyli beton ve betonarme kalıbı (sıva, taş ve benzeri
kaplama malzemesi ile kaplanacak beton ve betonarme yüzeylerde) </t>
  </si>
  <si>
    <t xml:space="preserve">Ø 8- Ø 12 mm nervürlü beton çelik çubuğunun bükülmesi,
yerine konulması </t>
  </si>
  <si>
    <t xml:space="preserve">Ø 14- Ø 28 mm nervürlü lik beton çelik çubuğunun
bükülmesi, yerine konulması </t>
  </si>
  <si>
    <t xml:space="preserve">Yatay delikli fabrika tuğlası (19x19x13,5 cm) ile 200 doz
çimento harçlı duvar yapılması </t>
  </si>
  <si>
    <t xml:space="preserve">Yatay delikli fabrika tuğlası (19x19x13.5 cm) ile 250 doz
çimento harçlı yarım tuğla duvar yapılması </t>
  </si>
  <si>
    <t xml:space="preserve">Ahşap çatı üzerine 3mm kalınlıkta plastomer esaslı cam
tülü taşıyıcılı polimer bitümlü örtüler ile çatı örtüsü altında 1 katlı su yalıtımı yapılması (soğuk çatılarda %5 ile %36 arasında eğim olan yerlerde, -10C soğukta bükülmeli) </t>
  </si>
  <si>
    <t xml:space="preserve">Çatı arasında döşeme üzerine 6 cm kalınlıkta cam yünü ile
ısı yalıtımı yapılması (18 kg/m³ yoğunluğunda) </t>
  </si>
  <si>
    <t xml:space="preserve">4 cm kalınlıkta yüzeyi pürüzlü veya pürüzlü ve kanallı ekstrüde
polistren (XPS) köpük ısı yalıtım levhaları ile dış duvarların dıştan ısı yalıtımı ve ısı yalıtım sıvası yapılması (mantolama) (yoğunluğu min.25kg/m3 ve 100 kpa basınç dayanımlı) </t>
  </si>
  <si>
    <t xml:space="preserve">Elastomerik reçine esaslı sıvı plastik kaplama ile ıslak
hacimlerin, düz çatıların, temel zeminlerinin 1 mm kalınlıkta kaplanarak su yalıtımı yapılması (yatayda) </t>
  </si>
  <si>
    <t xml:space="preserve">En yüksek noktası (yüksekliği) 4 m'ye kadar olan yapı ve
sınai imalata (köprüler hariç) ait ahşap kalıp iskelesi (4.00 m. dahil) </t>
  </si>
  <si>
    <t xml:space="preserve">0-12,50 m arası yükseklikteki tavanlar için iş iskelesi
kurulması (12,50 m dahil) </t>
  </si>
  <si>
    <t xml:space="preserve">12,50 metreden fazla yükseklikteki duvarlar için iş iskelesi
kurulması (12,50 m. hariç) </t>
  </si>
  <si>
    <t xml:space="preserve">Rendesiz ve çatı örtüsünün altı tahta kaplamalı ahşap
oturma çatı yapılması </t>
  </si>
  <si>
    <t xml:space="preserve">Lamine levha kaplamalı iç kapılara ait masif kasa ve
pervaz yapılması ve yerine takılması </t>
  </si>
  <si>
    <t xml:space="preserve">Dış kapılara 1. sınıf çam kerestesinden masif kapı kasa
veya telaro kasa ve pervaz yapılması ve yerine konulması </t>
  </si>
  <si>
    <t xml:space="preserve">Lamine levha kaplamalı, iki yüzü odun lifinden yapılmış
levhalarla presli, kraft dolgulu iç kapı kanadı yapılması, yerine takılması </t>
  </si>
  <si>
    <t xml:space="preserve">1. Sınıf çam kerestesinden masif tablalı dış kapı kanadı
yapılması ve yerine konulması </t>
  </si>
  <si>
    <t xml:space="preserve">Kare ve dikdörtgen profillerle pencere ve kapı yapılması
ve yerine konulması </t>
  </si>
  <si>
    <t xml:space="preserve">Plastik doğrama imalatı yapılması ve yerine konulması
(Sert PVC doğrama profillerinden her çeşit kapı, pencere, kaplama ve benzeri imalat) </t>
  </si>
  <si>
    <t xml:space="preserve">30x30 cm ebadında 0,70 mm kalınlığında minimum 20
mikron elektrostatik toz boyalı (polyester esaslı) delikli alüminyum plakadan (EN AW 3000 serisi) sarkmalı sistem asma tavan yapılması </t>
  </si>
  <si>
    <t xml:space="preserve">Naturel-mat eloksallı profillerle ısı yalıtımsız alüminyum
doğrama imalatı yapılması ve yerine konulması </t>
  </si>
  <si>
    <t xml:space="preserve">Naturel-mat ve eloksallı ısı yalıtımlı alüminyum doğrama
imalatı yapılması ve yerine konulması </t>
  </si>
  <si>
    <t xml:space="preserve">12 No.lu çinko levhadan sıva eteği, baca kenarı, çatı
muayene pencereleri ve çatı fenerleri dipleri yapılması ve yerine konulması </t>
  </si>
  <si>
    <t xml:space="preserve">Ø 100 mm çapında bir ucu muflu sert PVC yağmur borusu
temini ve yerine tespiti </t>
  </si>
  <si>
    <t xml:space="preserve">Ø 100 mm çapında sert PVC yağmur oluğu temini ve
yerine tespiti </t>
  </si>
  <si>
    <t xml:space="preserve">Yeni sıva yüzlerine 0,350 kg macun çekilerek iki kat su
bazlı mat plastik boya yapılması </t>
  </si>
  <si>
    <t xml:space="preserve">Saten alçılı yüzeylere astar çekilerek iki kat yarımat su
bazlı plastik boya yapılması </t>
  </si>
  <si>
    <t xml:space="preserve">33x33 cm ebadında düz yüzeyli her renk ve desende
seramik yer karosu ile fugalı döşeme kaplaması yapılması (Fayans ve seramik yapıştırıcısı ile) </t>
  </si>
  <si>
    <t xml:space="preserve">25x33 cm ebadında modüler ölçüde üretilmiş düz yüzeyli herrenk ve desende seramik duvar karosu ile fugalı duvar ve cephe kaplaması yapılması(Fayans ve seramik yapıştırıcısı ile) </t>
  </si>
  <si>
    <t xml:space="preserve">40x40 cm ebadında modüler ölçüde üretilmiş, parlak yüzeyli,her renkte, sırsız porselen karolar (granit seramik karo) ile fugalı döşeme kaplaması yapılması (Fayans ve seramik yapıştırıcısı ile) </t>
  </si>
  <si>
    <t xml:space="preserve">Normal çimentolu, düz veya desenli, her renkte, her ebat
ve kalınlıkta, çift tabakalı terrazo karo plak (karo mozayik - sınıf 2) ile iç mekanlarda döşeme kaplaması yapılması </t>
  </si>
  <si>
    <t xml:space="preserve">50x50 veya 20x20 mm lik 40x40 cm lik kağıt yaprağa
yapıştırılmış sırlı karo mozayik seramikler ile duvar kaplaması yapılması </t>
  </si>
  <si>
    <t xml:space="preserve">3 cm kalınlığında renkli mermer ile döşeme kaplaması
yapılması (3x30xSerbestboy) </t>
  </si>
  <si>
    <t xml:space="preserve">Renkli mermer plaklar ile merdiven basamağı kaplaması
(basamak 3 cm, rıht 2 cm kalınlığında) yapılması </t>
  </si>
  <si>
    <t xml:space="preserve">3 cm kalınlığında renkli mermer plaklar ile dış denizlik
yapılması (3x30xSerbestboy) </t>
  </si>
  <si>
    <t xml:space="preserve">3 cm kalınlığında renkli mermer plaklar ile parapet
yapılması (3x30xSerbestboy) </t>
  </si>
  <si>
    <t xml:space="preserve">İnce sıva, alçı sıvalı vb. yüzeyler üzerine 3 mm kalınlığında
saten alçı kaplama yapılması </t>
  </si>
  <si>
    <t xml:space="preserve">Madeni konstrüksiyona profil veya madeni çıta ile 3,00 mm
kalınlıkta renksiz düz cam takılması </t>
  </si>
  <si>
    <t xml:space="preserve">Madeni konstrüksiyona profil veya madeni çıta ile 4+4 mm
kalınlıkta 12 mm ara boşluklu çift camlı pencere ünitesi takılması </t>
  </si>
  <si>
    <t xml:space="preserve">Gömme silindirli iç ve dış kapı kilidinin yerine takılması
(Geniş ve dar tip) </t>
  </si>
  <si>
    <t xml:space="preserve">İspanyolet takımının yerine takılması (kol dahil) 180 cm'e
kadar, 3 kavramalı </t>
  </si>
  <si>
    <t xml:space="preserve">Vasistas ispanyolet takımının yerine takılması
(Kol, makas dahil) </t>
  </si>
  <si>
    <t xml:space="preserve">3 cm Renkli Mermer Plaklarla Tezgah Üstü Kaplaması
Yapılması </t>
  </si>
  <si>
    <t xml:space="preserve">Demir imalatın bir kat antipas, iki kat sentetik boya ile
boyanması </t>
  </si>
  <si>
    <t xml:space="preserve">Makine ile yumuşak ve sert toprak kazılması (gevşek ve bitkisel
toprak, gevşek silt, kum, kil, siltli kil, kumlu ve gevşek kil, killi kum ve çakıl, kürekle atılabilen taşlı toprak ve benzeri zeminler) </t>
  </si>
  <si>
    <t xml:space="preserve">Makine ile her derinlikte yumuşak ve sert küskülük zeminin
kazılması (sert kil, yumuşak marn ve tüf, sıkışık gravye, kazı güçlüğü benzerliğinden dolayı çamur, ayrışmış ve çatlaklı kaya, ayrışmış yapıdaki gre, şist, taşlaşmış marn ve kil, 0-0,400 m³ büyükl </t>
  </si>
  <si>
    <t xml:space="preserve">Basınç dayanımı C 12/15 (250 dozlu) olan demirsiz beton
(kırmataş ile) </t>
  </si>
  <si>
    <t xml:space="preserve">Basınç dayanımı C 16/20 (BS.16) olan demirsiz beton
(granülometrik kum ve çakıl ile) </t>
  </si>
  <si>
    <t xml:space="preserve">8 cm yüksekliğinde normal çimentolu buhar kürlü beton parke
taşı ile döşeme kaplaması yapılması (Her renk ve her ebatta) </t>
  </si>
  <si>
    <t xml:space="preserve">Ø 200 mm çapında spiral sarımlı PVC esaslı borularının temini
ve yerine döşenmesi (drenaj, yağmur suyu ve kanalizasyon için) Tip 4 </t>
  </si>
  <si>
    <t xml:space="preserve">200MM SPİRAL SARIMLI PVC (DELİKLİ) BORUNUN TEMİNİ VE
DÖŞENMESİ </t>
  </si>
  <si>
    <t xml:space="preserve">En yüksek noktası (yüksekliği) 4 m'ye kadar olan yapı ve sınai
imalata (köprüler hariç) ait ahşap kalıp iskelesi (4.00 m. dahil) </t>
  </si>
  <si>
    <t xml:space="preserve">Ø 14- Ø 28 mm nervürlü lik beton çelik çubuğunun bükülmesi,
yerine konulması </t>
  </si>
  <si>
    <t xml:space="preserve">Çeşitli demir işleri yapılması ve yerine konulması (her çeşit
merdiven, balkon, köprü, korkuluklar, pencere ve bahçe parmaklıkları, çatıya çıkma, fosseptik ve benzeri yerlere yapılan merdivenler, ızgara ve benzeri işler) </t>
  </si>
  <si>
    <t xml:space="preserve">Presleme yöntemi ile üretilen, üst kısmı beyaz çimentolu,
alt kısmı normal çimentolu, yivli-yivsiz, renkli-renksiz, terrazo karo plak (karosiman-sınıf 1) ile dış mekanlarda döşeme kaplaması yapılması </t>
  </si>
  <si>
    <t xml:space="preserve">Her genişlikte kargir duvar üzerine mozayik kaplı beton harpuşta
yapılması </t>
  </si>
  <si>
    <t>704-102</t>
  </si>
  <si>
    <t xml:space="preserve">Sıva üstü sac tablo-0,10-0.20 m² 0.20 m² dahil) </t>
  </si>
  <si>
    <t>705-101</t>
  </si>
  <si>
    <t xml:space="preserve">Gömme tip sac tablo-0,05-0,10 m² (0,10 m² dahil) </t>
  </si>
  <si>
    <t>705-105</t>
  </si>
  <si>
    <t xml:space="preserve">Gömme tip sac tablo-0.40-0,50 m² (0,50 m² dahil) </t>
  </si>
  <si>
    <t>707-102</t>
  </si>
  <si>
    <t xml:space="preserve">Anahtarlı otomatik sigortalı loj. tipi sac tablo-8 sigortalı </t>
  </si>
  <si>
    <t>707-103</t>
  </si>
  <si>
    <t xml:space="preserve">Anahtarlı otomatik sigortalı loj. tipi sac tablo-12 sigortal </t>
  </si>
  <si>
    <t>710-100</t>
  </si>
  <si>
    <t xml:space="preserve">Bakır bara temin ve montajı </t>
  </si>
  <si>
    <t>713-101</t>
  </si>
  <si>
    <t xml:space="preserve">Seçici Pako şalter-tablo üstü-2x16 A'e kadar </t>
  </si>
  <si>
    <t>715-307</t>
  </si>
  <si>
    <t xml:space="preserve">Termik Magnetik Şalter-tablo arkası-3x40 A'e kadar </t>
  </si>
  <si>
    <t>715-324</t>
  </si>
  <si>
    <t xml:space="preserve">Termik Magnetik Şalter-tablo arkası-3x125 A'e kadar, Icu:25 kA </t>
  </si>
  <si>
    <t>716-301</t>
  </si>
  <si>
    <t xml:space="preserve">Elektronik motor koruma cihazı-3x12 A'e kadar </t>
  </si>
  <si>
    <t>718-201</t>
  </si>
  <si>
    <t xml:space="preserve">Kuru tip Termik Kontaktör-3x10 A'e kadar </t>
  </si>
  <si>
    <t>718-502</t>
  </si>
  <si>
    <t xml:space="preserve">Kaçak akım koruma şalterleri-2x40 A'e kadar (30 mA) </t>
  </si>
  <si>
    <t>718-507</t>
  </si>
  <si>
    <t xml:space="preserve">Kaçak akım koruma şalterleri-4x25 A'e kadar (30 mA) </t>
  </si>
  <si>
    <t>718-529</t>
  </si>
  <si>
    <t>724-401</t>
  </si>
  <si>
    <t xml:space="preserve">Anahtarlı otomatik sigorta (3 kA)-16 A'e kadar </t>
  </si>
  <si>
    <t>724-402</t>
  </si>
  <si>
    <t xml:space="preserve">Anahtarlı otomatik sigorta (3 kA)-25 A'e kadar </t>
  </si>
  <si>
    <t>724-403</t>
  </si>
  <si>
    <t xml:space="preserve">Anahtarlı otomatik sigorta (3 kA)-63 A'e kadar </t>
  </si>
  <si>
    <t>724-406</t>
  </si>
  <si>
    <t xml:space="preserve">Anahtarlı otomatik sigorta (3 kA)-3x16 A'e kadar </t>
  </si>
  <si>
    <t>724-407</t>
  </si>
  <si>
    <t xml:space="preserve">Anahtarlı otomatik sigorta (3 kA)-3x40 A'e kadar </t>
  </si>
  <si>
    <t>725-711</t>
  </si>
  <si>
    <t xml:space="preserve">Zaman tarifeli elektronik elektrik sayacı, 10 (60) A'e kadar </t>
  </si>
  <si>
    <t>725-721</t>
  </si>
  <si>
    <t>725-904</t>
  </si>
  <si>
    <t xml:space="preserve">İşaret lambası 250 V'a kadar </t>
  </si>
  <si>
    <t>726-102</t>
  </si>
  <si>
    <t xml:space="preserve">Topraklama hattı-6 mm² </t>
  </si>
  <si>
    <t>727-503</t>
  </si>
  <si>
    <t xml:space="preserve">1 kV yeraltı kablosu (NYY)-2x10 mm² </t>
  </si>
  <si>
    <t>727-505</t>
  </si>
  <si>
    <t xml:space="preserve">1 kV yeraltı kablosu (NYY)-2x4 mm² </t>
  </si>
  <si>
    <t>727-522</t>
  </si>
  <si>
    <t xml:space="preserve">1 kV yeraltı kablosu (NYY)-3x35+16 mm² </t>
  </si>
  <si>
    <t>727-527</t>
  </si>
  <si>
    <t xml:space="preserve">1 kV yeraltı kablosu (NYY)-4x4 mm² </t>
  </si>
  <si>
    <t>727-528</t>
  </si>
  <si>
    <t xml:space="preserve">1 kV yeraltı kablosu (NYY)-4x2,5 mm² </t>
  </si>
  <si>
    <t>727-544</t>
  </si>
  <si>
    <t xml:space="preserve">1 kV yeraltı kablosu (NYY)-1x50 mm² </t>
  </si>
  <si>
    <t>734-201</t>
  </si>
  <si>
    <t xml:space="preserve">Güvenlik hatlı normal sorti </t>
  </si>
  <si>
    <t>734-202</t>
  </si>
  <si>
    <t xml:space="preserve">Güvenlik hatlı komütatör sorti </t>
  </si>
  <si>
    <t>734-203</t>
  </si>
  <si>
    <t xml:space="preserve">Güvenlik hatlı vaevien sorti </t>
  </si>
  <si>
    <t>734-204</t>
  </si>
  <si>
    <t xml:space="preserve">Güvenlik hatlı paralel sorti </t>
  </si>
  <si>
    <t>734-205</t>
  </si>
  <si>
    <t xml:space="preserve">Güvenlik hatlı avize sortisi </t>
  </si>
  <si>
    <t>735-102</t>
  </si>
  <si>
    <t xml:space="preserve">Güvenlik hatlı priz sortisi </t>
  </si>
  <si>
    <t>739-101</t>
  </si>
  <si>
    <t xml:space="preserve">Boş boru döşenmesi 14-18 mm boru ile </t>
  </si>
  <si>
    <t>740-105</t>
  </si>
  <si>
    <t xml:space="preserve">Linye ve sorti hattı kurşunsuz antigron malzeme ile Etanş priz sortisi </t>
  </si>
  <si>
    <t>742-102</t>
  </si>
  <si>
    <t xml:space="preserve">Tip B1 tavan armatürü </t>
  </si>
  <si>
    <t>742-110</t>
  </si>
  <si>
    <t xml:space="preserve">Tip J1 asma tavan armatürü </t>
  </si>
  <si>
    <t>742-118</t>
  </si>
  <si>
    <t xml:space="preserve">Tip N avize armatürü (N2 2 ve 3 kollu) </t>
  </si>
  <si>
    <t>742-128</t>
  </si>
  <si>
    <t xml:space="preserve">360º Sensörlü Tavan Armatürü. (Ölçü: Ad, ; İhzarat: % 60) </t>
  </si>
  <si>
    <t>742-283</t>
  </si>
  <si>
    <t xml:space="preserve">Flüoresan armatür U (etanş)-1x40 W </t>
  </si>
  <si>
    <t>780-116</t>
  </si>
  <si>
    <t xml:space="preserve">Sıva üstü topraklı priz: (Ölçü: Adet) (TS-40) </t>
  </si>
  <si>
    <t>781-201</t>
  </si>
  <si>
    <t xml:space="preserve">Etanş kauçuk priz-duvar, trifaze 16 A </t>
  </si>
  <si>
    <t>806-101</t>
  </si>
  <si>
    <t xml:space="preserve">Kapı zili sortisi </t>
  </si>
  <si>
    <t>807-102</t>
  </si>
  <si>
    <t xml:space="preserve">Transformatör ve montajı (3-5-8/220-110 V.10 VA'e kadar) </t>
  </si>
  <si>
    <t>813-101</t>
  </si>
  <si>
    <t xml:space="preserve">Kapı otomatiği sortisi </t>
  </si>
  <si>
    <t>814-101</t>
  </si>
  <si>
    <t xml:space="preserve">Kapı otomatiği ve montajı-kurmalı tip </t>
  </si>
  <si>
    <t>819-102</t>
  </si>
  <si>
    <t xml:space="preserve">Telefon dağıtım kutuları (30 çifte kadar) (DKP sac) </t>
  </si>
  <si>
    <t>845-103</t>
  </si>
  <si>
    <t xml:space="preserve">Televizyon sortisi </t>
  </si>
  <si>
    <t>848-102</t>
  </si>
  <si>
    <t xml:space="preserve">Duafon merkezi ve montajı-10 aboneli </t>
  </si>
  <si>
    <t>848-301</t>
  </si>
  <si>
    <t xml:space="preserve">Duafon tesisatı besleme hattı </t>
  </si>
  <si>
    <t>880-103</t>
  </si>
  <si>
    <t xml:space="preserve">Telefon fiş-prizi </t>
  </si>
  <si>
    <t>880-563</t>
  </si>
  <si>
    <t xml:space="preserve">Bakır data kablosu, Utp Cat6 </t>
  </si>
  <si>
    <t>980-211</t>
  </si>
  <si>
    <t xml:space="preserve">Ortalama uyarım yolu dl=20 m, aktif yakalama ucu </t>
  </si>
  <si>
    <t>980-300</t>
  </si>
  <si>
    <t xml:space="preserve">Çatı direği (radyoaktif yakalama ucu için) (Ölçü: Adet, İhzarat: % 60) </t>
  </si>
  <si>
    <t>981-101</t>
  </si>
  <si>
    <t>982-102</t>
  </si>
  <si>
    <t xml:space="preserve">30x3,5 mm ebadında şartnamesine uygun galvanizli çelik lama </t>
  </si>
  <si>
    <t>983-102</t>
  </si>
  <si>
    <t xml:space="preserve">Toprak elektrodu (Çubuk)elektrolitik bakır </t>
  </si>
  <si>
    <t>Özel-001</t>
  </si>
  <si>
    <t xml:space="preserve">120cm galvanizli paslanmaz 39dB kazançlı offset çanak anten </t>
  </si>
  <si>
    <t>Özel-002</t>
  </si>
  <si>
    <t xml:space="preserve">Sonlu multiswitch 9/12 kapasiteli </t>
  </si>
  <si>
    <t>Özel-003</t>
  </si>
  <si>
    <t>Özel-004</t>
  </si>
  <si>
    <t xml:space="preserve">Ana gövde ve kolları çelik boru olan çift kollu bahçe aydınlatma direği </t>
  </si>
  <si>
    <t>SIHHI VE MÜŞTEREK TESİSAT İMALATLARI</t>
  </si>
  <si>
    <t>071-112</t>
  </si>
  <si>
    <t xml:space="preserve">Fayans lavabo (ekstra sınıf), 45x55 cm konsollu Yarım Ayaklı Tk </t>
  </si>
  <si>
    <t>072-301</t>
  </si>
  <si>
    <t>073-202</t>
  </si>
  <si>
    <t xml:space="preserve">Ayna (kristal cam) 40x60 cm </t>
  </si>
  <si>
    <t>074-102</t>
  </si>
  <si>
    <t xml:space="preserve">Etajer (fayans, ekstra sınıf) 60x15 cm </t>
  </si>
  <si>
    <t>075-103</t>
  </si>
  <si>
    <t xml:space="preserve">Alaturka hela taşı (fayans ekstra sınıf) plastik sifonlu, 50x60 cm </t>
  </si>
  <si>
    <t>079-100</t>
  </si>
  <si>
    <t xml:space="preserve">Kendinden rezerv.alafranga hela ve tes. (1.kalite) 35x55 cm </t>
  </si>
  <si>
    <t>083-401</t>
  </si>
  <si>
    <t xml:space="preserve">Eviye (iki gözlü damlalıklı), paslanmaz çelik, 60x140 cm </t>
  </si>
  <si>
    <t>084-202</t>
  </si>
  <si>
    <t xml:space="preserve">Eviye tesisatı (iki gözlü, bataryalı, plastik sifonlu, 1.sınıf) </t>
  </si>
  <si>
    <t>087-101</t>
  </si>
  <si>
    <t xml:space="preserve">Duş teknesi (fayans, ekstra kalite), 80x80x15 cm </t>
  </si>
  <si>
    <t>089-101</t>
  </si>
  <si>
    <t xml:space="preserve">Musluk (kısa) 1.sınıf, 1/2" </t>
  </si>
  <si>
    <t>089-1104</t>
  </si>
  <si>
    <t>089-201</t>
  </si>
  <si>
    <t xml:space="preserve">Rakorlu musluk (kromajlı) 1/2" </t>
  </si>
  <si>
    <t>089-602</t>
  </si>
  <si>
    <t xml:space="preserve">El duşu ve askısı ile komple batarya (1.sınıf) </t>
  </si>
  <si>
    <t>089-701</t>
  </si>
  <si>
    <t xml:space="preserve">Lavabo ve eviye sifonu </t>
  </si>
  <si>
    <t>090-400</t>
  </si>
  <si>
    <t xml:space="preserve">Prinç kromajlı sabunluk </t>
  </si>
  <si>
    <t>091-600</t>
  </si>
  <si>
    <t xml:space="preserve">Sıvı sabun makinası: (Ölçü. Ad.: İhzarat: % 60): (TSE kalite belgeli) </t>
  </si>
  <si>
    <t>092-200</t>
  </si>
  <si>
    <t xml:space="preserve">Havluluk (prinçten kromajlı çift kollu döner) </t>
  </si>
  <si>
    <t>094-301</t>
  </si>
  <si>
    <t xml:space="preserve">Kağıtlık (kromajlı) </t>
  </si>
  <si>
    <t>095-301</t>
  </si>
  <si>
    <t xml:space="preserve">Elbise askısı (prinçten kromajlı çift) </t>
  </si>
  <si>
    <t>097-504</t>
  </si>
  <si>
    <t xml:space="preserve">Banyo süzgeci (prinç kromajlı ızgaralı), 17x17 cm </t>
  </si>
  <si>
    <t>103-103</t>
  </si>
  <si>
    <t xml:space="preserve">Soğuk su sayacı (çap 25 mm, (1"), vidalı) </t>
  </si>
  <si>
    <t>105-604</t>
  </si>
  <si>
    <t xml:space="preserve">Prizmatik Modüller Paslanmaz Çelik Su Deposu 5,00 m³ </t>
  </si>
  <si>
    <t>107-631</t>
  </si>
  <si>
    <t>117-303</t>
  </si>
  <si>
    <t xml:space="preserve">Elektrikli su ısıtıcısı (60 l, 1720 kcal/h, 1800 watt) </t>
  </si>
  <si>
    <t>126-102</t>
  </si>
  <si>
    <t xml:space="preserve">Kolye priz (çap 40 mm'den fazla) </t>
  </si>
  <si>
    <t>173-102</t>
  </si>
  <si>
    <t xml:space="preserve">Kollektör borusu (dikişli, çap: 83/3.25 mm) </t>
  </si>
  <si>
    <t>201-205</t>
  </si>
  <si>
    <t xml:space="preserve">Dikişli galvanizli boru (1") </t>
  </si>
  <si>
    <t>201-206</t>
  </si>
  <si>
    <t xml:space="preserve">Dikişli galvanizli boru (1 1/4") </t>
  </si>
  <si>
    <t>201-208</t>
  </si>
  <si>
    <t xml:space="preserve">Dikişli galvanizli boru (2") </t>
  </si>
  <si>
    <t>204-3102</t>
  </si>
  <si>
    <t xml:space="preserve">Pn 20 polipropilen temiz su boru 1/2" 20/3,4 mm </t>
  </si>
  <si>
    <t>204-3103</t>
  </si>
  <si>
    <t xml:space="preserve">Pn 20 polipropilen temiz su boru 3/4" 25/4,2 mm </t>
  </si>
  <si>
    <t>204-3104</t>
  </si>
  <si>
    <t xml:space="preserve">Pn 20 polipropilen temiz su boru 1" 32/5,4 mm </t>
  </si>
  <si>
    <t>204-402</t>
  </si>
  <si>
    <t>204-403</t>
  </si>
  <si>
    <t>204-404</t>
  </si>
  <si>
    <t>210-624</t>
  </si>
  <si>
    <t xml:space="preserve">Küresel vana, prinç pres, teflon contalı (çap: 20 mm) </t>
  </si>
  <si>
    <t>210-625</t>
  </si>
  <si>
    <t xml:space="preserve">Küresel vana, prinç pres, teflon contalı (çap: 25 mm) </t>
  </si>
  <si>
    <t>210-626</t>
  </si>
  <si>
    <t xml:space="preserve">Küresel vana, prinç pres, teflon contalı (çap: 32 mm) </t>
  </si>
  <si>
    <t>210-627</t>
  </si>
  <si>
    <t xml:space="preserve">Küresel vana, prinç pres, teflon contalı (çap: 40 mm) </t>
  </si>
  <si>
    <t>210-628</t>
  </si>
  <si>
    <t xml:space="preserve">Küresel vana, prinç pres, teflon contalı (çap: 50 mm) </t>
  </si>
  <si>
    <t>212-104</t>
  </si>
  <si>
    <t xml:space="preserve">Basınç düşürücü vana, su için (çap: 32 mm) Vidalı (1 1/4'') </t>
  </si>
  <si>
    <t>221-404</t>
  </si>
  <si>
    <t xml:space="preserve">Pislik tutucu, paslanmaz çelik, vidalı veya flanşlı (çap: 32 mm) </t>
  </si>
  <si>
    <t>227-204</t>
  </si>
  <si>
    <t xml:space="preserve">Geri tepme ventili, prinç pres döküm vidalı (çap: 32 mm) </t>
  </si>
  <si>
    <t xml:space="preserve">Lavabo tesisatı, Birinci sınıf: (Batarya TS EN 200; Sifon TS-EN
274-1-2-3) </t>
  </si>
  <si>
    <t xml:space="preserve">1/2" Lavabo-eviye muslukları; döner borulu,rozetli perlatörlü
tezgah üzeri veya duvardan montajlı </t>
  </si>
  <si>
    <t xml:space="preserve">Sert PVC pis su borusu (geçme muflu, çap: 75-70 mm,
et kalınlığı 3 mm) </t>
  </si>
  <si>
    <t xml:space="preserve">İki pompalı düşey milli santrifüj pompalı hidrofor (1-10 m³/h, 30-60
mSS) </t>
  </si>
  <si>
    <t xml:space="preserve">Sert PVC pis su borusu (geçme muflu, çap: 100-110 mm, et
kalınlığı 3 mm) </t>
  </si>
  <si>
    <t xml:space="preserve">Sert PVC pis su borusu (geçme muflu, çap: 125 mm, et kalınlığı
3,2 mm) </t>
  </si>
  <si>
    <t xml:space="preserve">Kaçak akım koruma şalterlerine monte edilen kombinasyon-3x80
-3x250 A'e kadar (30-500 mA) </t>
  </si>
  <si>
    <t xml:space="preserve">Üç fazlı aktif, zaman tarifeli elektronik elektrik sayacı, 3x230/400
V:3x10 (60) A </t>
  </si>
  <si>
    <t xml:space="preserve">50 mm² elektrolitik bakır tel ile çatı ihata ve indirme iletkenleri
tesisatı </t>
  </si>
  <si>
    <t xml:space="preserve">Gürültü seviyesi 0,3dB 4 çıkışlı quattro 10,7-12,75GHz santral
uyumlu lnb </t>
  </si>
  <si>
    <t>KALORİFER VE MÜŞTEREK TESİSAT İMALATLARI</t>
  </si>
  <si>
    <t>152-1104</t>
  </si>
  <si>
    <t xml:space="preserve">Çelik kalorifer kazanı (duman borulu, 3 Atü, 120.000 kcal/h) </t>
  </si>
  <si>
    <t>154-000</t>
  </si>
  <si>
    <t xml:space="preserve">Izgara yapılması </t>
  </si>
  <si>
    <t>155-100</t>
  </si>
  <si>
    <t xml:space="preserve">Dökme dilimli kazanlara ateş tuğlası örülmesi </t>
  </si>
  <si>
    <t>161-100</t>
  </si>
  <si>
    <t xml:space="preserve">Doldurma ve boşaltma musluğu (çap: 20 mm (3/4") </t>
  </si>
  <si>
    <t>162-201</t>
  </si>
  <si>
    <t xml:space="preserve">Termometre (madeni) çap: 100 mm, 120 C bölüntülü </t>
  </si>
  <si>
    <t>163-100</t>
  </si>
  <si>
    <t xml:space="preserve">Hidrometre (çap: 100 mm, 25 mss'na kadar) </t>
  </si>
  <si>
    <t>165-708</t>
  </si>
  <si>
    <t xml:space="preserve">Panel radyatör, (Tip 22) 600 </t>
  </si>
  <si>
    <t>165-912</t>
  </si>
  <si>
    <t>169-403</t>
  </si>
  <si>
    <t xml:space="preserve">Panel radyatör montaj elemanı (600) </t>
  </si>
  <si>
    <t>170-201</t>
  </si>
  <si>
    <t xml:space="preserve">Köşe tip radyatör musluğu (çap: 15 mm (1/2")) </t>
  </si>
  <si>
    <t>173-201</t>
  </si>
  <si>
    <t xml:space="preserve">Kollektör borusu (patent çekme çelik, çap: 57/2.90 mm) </t>
  </si>
  <si>
    <t>173-203</t>
  </si>
  <si>
    <t xml:space="preserve">Kollektör borusu (patent çekme çelik, çap: 108/3.60 mm) </t>
  </si>
  <si>
    <t>173-305</t>
  </si>
  <si>
    <t xml:space="preserve">Kollektör ağızlığı (ağız çapı: 40 mm) </t>
  </si>
  <si>
    <t>173-306</t>
  </si>
  <si>
    <t xml:space="preserve">Kollektör ağızlığı (ağız çapı: 50 mm) </t>
  </si>
  <si>
    <t>173-309</t>
  </si>
  <si>
    <t xml:space="preserve">Kollektör ağızlığı (ağız çapı: 100 mm) </t>
  </si>
  <si>
    <t>174-111</t>
  </si>
  <si>
    <t xml:space="preserve">açık prizmatik genleşme deposu 500lt </t>
  </si>
  <si>
    <t>181-100</t>
  </si>
  <si>
    <t xml:space="preserve">KALORİFER BACASI SAC DUMAN KANALI YAPILMASI </t>
  </si>
  <si>
    <t>201-104</t>
  </si>
  <si>
    <t xml:space="preserve">Dikişli siyah boru 1/2" </t>
  </si>
  <si>
    <t>201-106</t>
  </si>
  <si>
    <t xml:space="preserve">Dikişli siyah boru 1" </t>
  </si>
  <si>
    <t>201-107</t>
  </si>
  <si>
    <t xml:space="preserve">Dikişli siyah boru (vidalı, 1 1/4") </t>
  </si>
  <si>
    <t>201-108</t>
  </si>
  <si>
    <t xml:space="preserve">Dikişli siyah boru 1 1/2" </t>
  </si>
  <si>
    <t>201-109</t>
  </si>
  <si>
    <t xml:space="preserve">Dikişli siyah boru 2" </t>
  </si>
  <si>
    <t>207-601</t>
  </si>
  <si>
    <t xml:space="preserve">Kosva vana, preste imal edilmiş (çap: 15 mm) </t>
  </si>
  <si>
    <t>210-702</t>
  </si>
  <si>
    <t>210-703</t>
  </si>
  <si>
    <t>210-704</t>
  </si>
  <si>
    <t>210-705</t>
  </si>
  <si>
    <t>210-706</t>
  </si>
  <si>
    <t>210-707</t>
  </si>
  <si>
    <t>210-710</t>
  </si>
  <si>
    <t>216-506</t>
  </si>
  <si>
    <t xml:space="preserve">Sirkülasyon pompası 1500 d/d (4.1-8 m³/h, 2.01-3.50 mSS) </t>
  </si>
  <si>
    <t>230-205</t>
  </si>
  <si>
    <t>230-602</t>
  </si>
  <si>
    <t xml:space="preserve">boru izolasyonu cam yünü (40mm) üzeri galvaniz sac kaplama </t>
  </si>
  <si>
    <t>230-606</t>
  </si>
  <si>
    <t xml:space="preserve">boru izolasyonu cam yünü (40mm),üzeri galvaniz saç kaplama </t>
  </si>
  <si>
    <t>230-608</t>
  </si>
  <si>
    <t xml:space="preserve">boru izolasyonu cam yünü(40mm), üzeri galvaniz sac kaplama </t>
  </si>
  <si>
    <t>230-610</t>
  </si>
  <si>
    <t xml:space="preserve">boru izolasyonu cam yünü (40mm), üzeri galvaniz sac kaplama </t>
  </si>
  <si>
    <t>230-612</t>
  </si>
  <si>
    <t>230-635</t>
  </si>
  <si>
    <t xml:space="preserve">boru izolasyonu cam yünü (50mm), üzeri galvaniz sac kaplama </t>
  </si>
  <si>
    <t>231-101</t>
  </si>
  <si>
    <t xml:space="preserve">Boru boyanması, sülyen boya ile 2 kat (çap: 15 mm-50 mm) </t>
  </si>
  <si>
    <t>Özel Poz1</t>
  </si>
  <si>
    <t xml:space="preserve">Spiral boruya geçirilmiş PE-XB Plus boru 16 mm </t>
  </si>
  <si>
    <t xml:space="preserve">E.M=500-600 mm, Y=600 mm, Banyo tipi havlupan alüminyum
radyatörler </t>
  </si>
  <si>
    <t xml:space="preserve">Sert PVC pis su borusu (geçme muflu, çap: 100-110 mm,
et kalınlığı 3 mm) </t>
  </si>
  <si>
    <t xml:space="preserve">Küresel vana, gövde pik küresi paslanmaz çelik, flanşlı
(çap: 15 mm) </t>
  </si>
  <si>
    <t xml:space="preserve">Küresel vana, gövde pik küresi paslanmaz çelik, flanşlı
(çap: 20 mm) </t>
  </si>
  <si>
    <t xml:space="preserve">Küresel vana, gövde pik küresi paslanmaz çelik, flanşlı
(çap: 25 mm) </t>
  </si>
  <si>
    <t xml:space="preserve">Küresel vana, gövde pik küresi paslanmaz çelik, flanşlı
(çap: 32 mm) </t>
  </si>
  <si>
    <t xml:space="preserve">Küresel vana, gövde pik küresi paslanmaz çelik, flanşlı
(çap: 40 mm) </t>
  </si>
  <si>
    <t xml:space="preserve">Küresel vana, gövde pik küresi paslanmaz çelik, flanşlı
(çap: 50 mm) </t>
  </si>
  <si>
    <t xml:space="preserve">Küresel vana, gövde pik küresi paslanmaz çelik, flanşlı
(çap: 100 mm) </t>
  </si>
  <si>
    <t xml:space="preserve">8,0 cm kalınlıkta rabitz telli beyaz taş yünü teknik izolasyon
malzemesi kullanılarak yapılıp üzeri aluminyum kaplamalı izolasyon </t>
  </si>
  <si>
    <t>03.1.2-002</t>
  </si>
  <si>
    <t xml:space="preserve">ø8mm İçi Dolu Bakır Bara (0.45 kg/m) </t>
  </si>
  <si>
    <t>05.6.1-121</t>
  </si>
  <si>
    <t>05.6.1-179</t>
  </si>
  <si>
    <t>05.6.5-002</t>
  </si>
  <si>
    <t xml:space="preserve">  PL-250     700 kg/Ad </t>
  </si>
  <si>
    <t>05.6.6-012</t>
  </si>
  <si>
    <t xml:space="preserve">Beton Nakli Sabit Bedel </t>
  </si>
  <si>
    <t>05.6.6-014</t>
  </si>
  <si>
    <t xml:space="preserve">Beton Nakli Ödenecek Bedel. </t>
  </si>
  <si>
    <t>05.6.M1</t>
  </si>
  <si>
    <t xml:space="preserve">Beton Direk Montajı (I-Şehir içi) </t>
  </si>
  <si>
    <t>05.7.6-008</t>
  </si>
  <si>
    <t xml:space="preserve">  N/70-240,      140 kg/Ad </t>
  </si>
  <si>
    <t>05.7.M1</t>
  </si>
  <si>
    <t xml:space="preserve">Beton Travers ve Konsol Montajı (I-Şehir içi) </t>
  </si>
  <si>
    <t>08-005</t>
  </si>
  <si>
    <t xml:space="preserve">2.1/2"  Gaz Borusu  (L : 2.15m) </t>
  </si>
  <si>
    <t>09.3.1-002</t>
  </si>
  <si>
    <t xml:space="preserve">SWALLOW  St-Al İletken (Beton Direğe) </t>
  </si>
  <si>
    <t>11.4-009</t>
  </si>
  <si>
    <t xml:space="preserve">36 kV VHD-35 H.H. Sis T. Mesnet İz. </t>
  </si>
  <si>
    <t>15.2-009</t>
  </si>
  <si>
    <t xml:space="preserve">36kV,  5kA  ZnO Parafudr </t>
  </si>
  <si>
    <t>17.8-008</t>
  </si>
  <si>
    <t xml:space="preserve">36kV,  630A,  12.5kA  HT Sig.Top.Ayırıcı </t>
  </si>
  <si>
    <t>17.9-023</t>
  </si>
  <si>
    <t xml:space="preserve">36kV,  2-20A  OG Sig.Patronu </t>
  </si>
  <si>
    <t>24.4.2-002</t>
  </si>
  <si>
    <t xml:space="preserve">100kVA 'lık  Harici Tip AG Panosu </t>
  </si>
  <si>
    <t xml:space="preserve">Tehlike işareti </t>
  </si>
  <si>
    <t xml:space="preserve">Tel Kafesli Kapı </t>
  </si>
  <si>
    <t xml:space="preserve">Tel Kefesli Çit (Tel Kafes) </t>
  </si>
  <si>
    <t>30.2.2-001</t>
  </si>
  <si>
    <t xml:space="preserve">50 mm2 NYY Kablo ve gömülmesi </t>
  </si>
  <si>
    <t xml:space="preserve">Topraklama Kazığı+ 5m şerit ve gömülmesi </t>
  </si>
  <si>
    <t xml:space="preserve">2 m, 65x65x7'lik galv.toprak elektrot ve gömülmesi </t>
  </si>
  <si>
    <t>31.6.4.3-006</t>
  </si>
  <si>
    <t xml:space="preserve">33/0.4-0.231kV, 100kVA  Dir.Herm.Trafo </t>
  </si>
  <si>
    <t>32.11-001</t>
  </si>
  <si>
    <t xml:space="preserve">35kV, 1x35s/16 mm2  XLPE Kablo (yeraltına) </t>
  </si>
  <si>
    <t>32.12.1-082</t>
  </si>
  <si>
    <t xml:space="preserve">1kV, 3x 50s/25c mm2  NYY Kablo (beton kanala, direğe) </t>
  </si>
  <si>
    <t>32.15-001</t>
  </si>
  <si>
    <t xml:space="preserve">35kV, 1x35s/16 mm2  XLPE Kablo (beton kanala, direğe) </t>
  </si>
  <si>
    <t>32.19-001</t>
  </si>
  <si>
    <t xml:space="preserve">35kV, 1x35s/16 mm2  XLPE Kablo (aynı kanala) </t>
  </si>
  <si>
    <t>32.21-060</t>
  </si>
  <si>
    <t xml:space="preserve">1kV, 3x50/25s mm2  NYY Kab.Başlığı </t>
  </si>
  <si>
    <t>32.34.11-001</t>
  </si>
  <si>
    <t xml:space="preserve">35kV, 1x35s/16 mm2 YE3SV D.Büz.Kab.Baş. </t>
  </si>
  <si>
    <t>32.34.14-001</t>
  </si>
  <si>
    <t xml:space="preserve">35kV, 1x35s/16 mm2 YE3SV H.Büz.Kab.Baş. </t>
  </si>
  <si>
    <t xml:space="preserve">Sabit ve Otm.Kompanzasyon Pano Kark.(D/H) </t>
  </si>
  <si>
    <t>38.2-001</t>
  </si>
  <si>
    <t xml:space="preserve">5-7.5 kVAR  Komp.Pano Teçhizatı (S/O) </t>
  </si>
  <si>
    <t>38.2-002</t>
  </si>
  <si>
    <t xml:space="preserve">8-15 kVAR  Komp.Pano Teçhizatı (S/O) </t>
  </si>
  <si>
    <t>38.3.b</t>
  </si>
  <si>
    <t xml:space="preserve">Otm. Komp.Pano Sabit Teçhizatı (D/H) </t>
  </si>
  <si>
    <t>38.7.I-001</t>
  </si>
  <si>
    <t xml:space="preserve">400V Metalize Poliprepylen Kondansatör </t>
  </si>
  <si>
    <t xml:space="preserve">12m/8,       2010 kg/Ad </t>
  </si>
  <si>
    <t xml:space="preserve">13m/30,     3720 kg/Ad </t>
  </si>
  <si>
    <t>Sıhhi ve Müşterek Tesisat İmalatları</t>
  </si>
  <si>
    <t>Kalorifer ve Müşterek Tesisat İmalatları</t>
  </si>
  <si>
    <t>İnş.Müh.</t>
  </si>
  <si>
    <t>Araklı Çankaya Yibo Lojman İnşaatı İşi 'ne ait</t>
  </si>
  <si>
    <t>Özbulut Yapı Taah.İnş.Gıda San.ve Tic.Ltd.Şti.</t>
  </si>
  <si>
    <t>Çevre İnşaat İmalatları</t>
  </si>
  <si>
    <t>SUBASMAN ALTI İNŞAAT İMALATLARI</t>
  </si>
  <si>
    <t>SUBASMAN ÜSTÜ İNŞAAT İMALATLARI</t>
  </si>
  <si>
    <t>ÇEVRE İNŞAAT İMALATLARI</t>
  </si>
  <si>
    <t>Subasmanaltı İnşaat İmalatları</t>
  </si>
  <si>
    <t>Subasmanüstü İnşaat İmalatları</t>
  </si>
  <si>
    <t xml:space="preserve">     Müteahhit Özbulut Yapı Taah.İnş.Gıda San.ve Tic.Ltd.Şti. taahhüdü altında bulunan Araklı Çankaya Yibo Lojman İnşaatı İşi 'ne ait 1(Bir) nolu hakediş düzenleneceğini bildirir bir ilan yazılarak şantiye ilan tahtasına asılmış bütün şantiye personeline duyurulmuştur.</t>
  </si>
  <si>
    <t>Özbulut Yapı Taah.İnş.</t>
  </si>
  <si>
    <t>Gıda San.ve Tic.Ltd.Şti.</t>
  </si>
  <si>
    <t>29.2</t>
  </si>
  <si>
    <t>30.3.1</t>
  </si>
  <si>
    <t>30.4.2</t>
  </si>
  <si>
    <t>Nuray KARA</t>
  </si>
  <si>
    <t>Mak.Tek.</t>
  </si>
  <si>
    <t>Muharrem CANIM</t>
  </si>
  <si>
    <t>Elk.Tek.</t>
  </si>
  <si>
    <t>210 Gün</t>
  </si>
  <si>
    <t>KONTROLLER</t>
  </si>
  <si>
    <t xml:space="preserve">         Müteahhit Özbulut Yapı Taah.İnş.Gıda San.ve Tic.Ltd.Şti. taahhüdü altında bulunan 499.000,00-TL sözleşme bedelli Araklı Çankaya Yibo Lojman İnşaatı İşi 'nde kazı, taş duvar, kalıp demir beton imalatlarına devam edilmektedir.</t>
  </si>
  <si>
    <t>SEVİYE TESPİT TUTANAĞI</t>
  </si>
  <si>
    <t>iş programı ödenek</t>
  </si>
  <si>
    <t>kümülatif toplam</t>
  </si>
  <si>
    <t>ödenek dilimi</t>
  </si>
  <si>
    <t>indeks ayı</t>
  </si>
  <si>
    <t>indeks</t>
  </si>
  <si>
    <t>sbt indeks</t>
  </si>
  <si>
    <t>formül</t>
  </si>
  <si>
    <t>Tutar</t>
  </si>
  <si>
    <t>eylül</t>
  </si>
  <si>
    <t>ekim</t>
  </si>
  <si>
    <t>kasım</t>
  </si>
  <si>
    <t>aralık</t>
  </si>
  <si>
    <t>mayıs</t>
  </si>
  <si>
    <t>haziran</t>
  </si>
  <si>
    <t>ağustos</t>
  </si>
  <si>
    <t>Hakediş tarihi</t>
  </si>
  <si>
    <t>Hakediş Miktarı</t>
  </si>
  <si>
    <t>Kümülatif Toplam</t>
  </si>
  <si>
    <t>Araklı Çankaya Yibo Lojman İnşaatı İşi Fiyat Farkı Hesabı</t>
  </si>
  <si>
    <t>Yusuf DURSUN</t>
  </si>
  <si>
    <t>Alay DEYMEN</t>
  </si>
  <si>
    <t>Gökhan SİL</t>
  </si>
  <si>
    <t xml:space="preserve">         Müteahhit Özbulut Yapı Taah.İnş.Gıda San.ve Tic.Ltd.Şti. taahhüdü altında bulunan yapımı devam 499.000,00-TL sözleşme bedelli  Araklı Çankaya Yibo Lojman İnşaatı İşi 'nde Mustafa BEYKOZ tarafımızdan işçi temsilcisi olarak seçilmiştir. </t>
  </si>
  <si>
    <t xml:space="preserve">     Bu anılan sürede hiçbir alacaklının kontrollüğümüze müracat etmemeleri üzerine iş bu ilan tutanağı tarafımızdan tanzim ve imza edilmiştir. 28.06.2012</t>
  </si>
  <si>
    <t>Mayıs 2012</t>
  </si>
  <si>
    <t>Haziran 2012</t>
  </si>
  <si>
    <t>Temmuz 2012</t>
  </si>
  <si>
    <t>Ağustos 2012</t>
  </si>
  <si>
    <t>Eylül 2012</t>
  </si>
  <si>
    <t>Ekim 2012</t>
  </si>
  <si>
    <t>Kasım 2012</t>
  </si>
  <si>
    <t xml:space="preserve">temmuz </t>
  </si>
  <si>
    <t>GEÇİCİ KABUL NOKSAN HESAP TABLOSU</t>
  </si>
  <si>
    <t>İŞİN ADI</t>
  </si>
  <si>
    <t>YÜKLENİCİSİ</t>
  </si>
  <si>
    <t>SÖZLEŞME BEDELİ</t>
  </si>
  <si>
    <t>SÖZLEŞME FİYATLARI İLE YAPILAN İŞ TUTARI</t>
  </si>
  <si>
    <t>GÜNCELLEME DÖNEMİ</t>
  </si>
  <si>
    <t xml:space="preserve">GÜNCELLEME KATSAYISI   </t>
  </si>
  <si>
    <t>/</t>
  </si>
  <si>
    <t>GÜNCELLENEN TUTAR  ( A * C)</t>
  </si>
  <si>
    <t>KESİLMESİ GEREKEN GEÇİCİ KABUL TUTARI</t>
  </si>
  <si>
    <t>EVVELCE KESİLEN TOPLAM TUTAR (G1…+...G12)</t>
  </si>
  <si>
    <t>G1</t>
  </si>
  <si>
    <t xml:space="preserve">1 NOLU HAKEDİŞ RAPORUNDAN KESİLEN TUTAR </t>
  </si>
  <si>
    <t>G2</t>
  </si>
  <si>
    <t xml:space="preserve">2 NOLU HAKEDİŞ RAPORUNDAN KESİLEN TUTAR </t>
  </si>
  <si>
    <t>G3</t>
  </si>
  <si>
    <t>G4</t>
  </si>
  <si>
    <t>G5</t>
  </si>
  <si>
    <t>G6</t>
  </si>
  <si>
    <t>G7</t>
  </si>
  <si>
    <t>G8</t>
  </si>
  <si>
    <t>G9</t>
  </si>
  <si>
    <t>G10</t>
  </si>
  <si>
    <t>G11</t>
  </si>
  <si>
    <t>G12</t>
  </si>
  <si>
    <t>12 NOLU HAKEDİŞ RAPORUNDAN KESİLEN TUTAR</t>
  </si>
  <si>
    <t>BU HAKEDİŞTE KESİLECEK TUTAR   ( F - G )</t>
  </si>
  <si>
    <t>28.06.2011 TARİH VE 0170020 SAYILI ALINDI BELGESİ (TEM.MEK.)</t>
  </si>
  <si>
    <t>19.09.2011 TARİH VE 0170606 SAYILI ALINDI BELGESİ (TEM.MEK.)</t>
  </si>
  <si>
    <t>BU HAKEDİŞTE KESİLECEK TUTAR</t>
  </si>
  <si>
    <t xml:space="preserve">KESİLMESİ GEREKEN </t>
  </si>
  <si>
    <t>GEÇİCİ KABUL NOKSANI ORANI(%)</t>
  </si>
  <si>
    <t>KESİLMESİ GEREKEN GEÇİCİ KABUL KESİNTİSİ TUTARI</t>
  </si>
  <si>
    <t>%3 Sözleşme Gereği Kesinti</t>
  </si>
  <si>
    <t>Aralık 2012</t>
  </si>
  <si>
    <t>F. FARKI TOPLAMI:</t>
  </si>
  <si>
    <t>2(İki)</t>
  </si>
  <si>
    <t>(-)</t>
  </si>
  <si>
    <t>hakediş-1
05.07.2012</t>
  </si>
  <si>
    <t>Hakediş-2
03.09.2012</t>
  </si>
  <si>
    <t>temmuz</t>
  </si>
  <si>
    <t>Arzu GÜNAYDIN ÜNSAL</t>
  </si>
  <si>
    <t>H.No.</t>
  </si>
  <si>
    <t>3(Üç)</t>
  </si>
  <si>
    <t>Hakediş-3
05.10.2012</t>
  </si>
  <si>
    <t xml:space="preserve">                                         Yap.Şb.Md.</t>
  </si>
  <si>
    <t xml:space="preserve">3 NOLU HAKEDİŞ RAPORUNDAN KESİLEN TUTAR </t>
  </si>
  <si>
    <t>Hakediş-4
05.11.2012</t>
  </si>
  <si>
    <t>5(Beş)</t>
  </si>
  <si>
    <t>Kasım 2012 / Nisan 2012</t>
  </si>
  <si>
    <t xml:space="preserve">4 NOLU HAKEDİŞ RAPORUNDAN KESİLEN TUTAR </t>
  </si>
  <si>
    <t>Hakediş-5
05.11.2012</t>
  </si>
  <si>
    <t>F.FARKI</t>
  </si>
  <si>
    <t>4(Dört)</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</si>
</sst>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0.0000"/>
    <numFmt numFmtId="165" formatCode="#,##0.00000"/>
    <numFmt numFmtId="166" formatCode="#,##0.0000"/>
    <numFmt numFmtId="167" formatCode="0.000000"/>
    <numFmt numFmtId="168" formatCode="0.00000"/>
    <numFmt numFmtId="169" formatCode="#,##0.000000"/>
    <numFmt numFmtId="170" formatCode="_-* #,##0_-;\-* #,##0_-;_-* &quot;-&quot;_-;_-@_-"/>
    <numFmt numFmtId="171" formatCode="0.000;[Red]0.000"/>
    <numFmt numFmtId="172" formatCode="#,##0;[Red]#,##0"/>
    <numFmt numFmtId="173" formatCode="#,##0.00;[Red]#,##0.00"/>
    <numFmt numFmtId="174" formatCode="#,##0.00_ ;[Red]\-#,##0.00\ "/>
    <numFmt numFmtId="175" formatCode="#,##0.00\ &quot;TL&quot;"/>
    <numFmt numFmtId="176" formatCode="0.0000000"/>
    <numFmt numFmtId="177" formatCode="#,##0.000"/>
    <numFmt numFmtId="178" formatCode="[$-41F]mmmm\ yy;@"/>
  </numFmts>
  <fonts count="75" x14ac:knownFonts="1">
    <font>
      <sz val="10"/>
      <name val="Arial"/>
      <charset val="16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family val="2"/>
      <charset val="162"/>
    </font>
    <font>
      <u/>
      <sz val="10"/>
      <color indexed="12"/>
      <name val="Arial"/>
      <family val="2"/>
      <charset val="162"/>
    </font>
    <font>
      <b/>
      <sz val="10"/>
      <name val="Arial"/>
      <family val="2"/>
      <charset val="162"/>
    </font>
    <font>
      <sz val="10"/>
      <name val="Arial"/>
      <family val="2"/>
      <charset val="162"/>
    </font>
    <font>
      <sz val="8"/>
      <name val="Arial"/>
      <family val="2"/>
      <charset val="162"/>
    </font>
    <font>
      <b/>
      <sz val="10"/>
      <name val="Arial"/>
      <family val="2"/>
      <charset val="162"/>
    </font>
    <font>
      <sz val="8"/>
      <name val="Arial"/>
      <family val="2"/>
      <charset val="162"/>
    </font>
    <font>
      <b/>
      <sz val="8"/>
      <name val="Arial"/>
      <family val="2"/>
      <charset val="162"/>
    </font>
    <font>
      <sz val="10"/>
      <name val="Arial"/>
      <family val="2"/>
    </font>
    <font>
      <b/>
      <sz val="10"/>
      <name val="Arial"/>
      <family val="2"/>
    </font>
    <font>
      <b/>
      <sz val="12"/>
      <name val="Arial"/>
      <family val="2"/>
      <charset val="162"/>
    </font>
    <font>
      <sz val="8"/>
      <name val="Arial"/>
      <family val="2"/>
    </font>
    <font>
      <u/>
      <sz val="10"/>
      <name val="Arial"/>
      <family val="2"/>
    </font>
    <font>
      <sz val="12"/>
      <name val="Arial"/>
      <family val="2"/>
      <charset val="162"/>
    </font>
    <font>
      <u/>
      <sz val="8"/>
      <name val="Arial"/>
      <family val="2"/>
    </font>
    <font>
      <sz val="10"/>
      <name val="Arial"/>
      <family val="2"/>
      <charset val="162"/>
    </font>
    <font>
      <sz val="11"/>
      <name val="Arial"/>
      <family val="2"/>
    </font>
    <font>
      <b/>
      <sz val="11"/>
      <name val="Arial"/>
      <family val="2"/>
    </font>
    <font>
      <b/>
      <sz val="12"/>
      <name val="Arial"/>
      <family val="2"/>
    </font>
    <font>
      <sz val="12"/>
      <name val="Arial"/>
      <family val="2"/>
    </font>
    <font>
      <sz val="9"/>
      <name val="Arial"/>
      <family val="2"/>
    </font>
    <font>
      <u/>
      <sz val="11"/>
      <name val="Arial"/>
      <family val="2"/>
    </font>
    <font>
      <sz val="12"/>
      <name val="Arial"/>
      <family val="2"/>
      <charset val="162"/>
    </font>
    <font>
      <b/>
      <sz val="12"/>
      <name val="Arial"/>
      <family val="2"/>
      <charset val="162"/>
    </font>
    <font>
      <sz val="9"/>
      <name val="Arial"/>
      <family val="2"/>
      <charset val="162"/>
    </font>
    <font>
      <sz val="10"/>
      <color indexed="8"/>
      <name val="Arial Tur"/>
      <charset val="162"/>
    </font>
    <font>
      <sz val="10"/>
      <color indexed="8"/>
      <name val="Arial"/>
      <family val="2"/>
      <charset val="162"/>
    </font>
    <font>
      <sz val="12"/>
      <name val="Verdana"/>
      <family val="2"/>
      <charset val="162"/>
    </font>
    <font>
      <sz val="10"/>
      <name val="Arial Tur"/>
      <charset val="162"/>
    </font>
    <font>
      <sz val="10"/>
      <name val="Calibri"/>
      <family val="2"/>
      <charset val="162"/>
    </font>
    <font>
      <sz val="9"/>
      <color indexed="8"/>
      <name val="Arial"/>
      <family val="2"/>
      <charset val="162"/>
    </font>
    <font>
      <sz val="9"/>
      <color theme="1"/>
      <name val="Arial"/>
      <family val="2"/>
      <charset val="162"/>
    </font>
    <font>
      <b/>
      <u/>
      <sz val="11"/>
      <name val="Arial"/>
      <family val="2"/>
      <charset val="162"/>
    </font>
    <font>
      <u/>
      <sz val="11"/>
      <name val="Arial"/>
      <family val="2"/>
      <charset val="162"/>
    </font>
    <font>
      <sz val="7"/>
      <name val="Arial"/>
      <family val="2"/>
    </font>
    <font>
      <i/>
      <sz val="9"/>
      <name val="Arial"/>
      <family val="2"/>
      <charset val="162"/>
    </font>
    <font>
      <sz val="9"/>
      <color indexed="8"/>
      <name val="Tahoma"/>
      <family val="2"/>
      <charset val="162"/>
    </font>
    <font>
      <b/>
      <sz val="16"/>
      <name val="Arial"/>
      <family val="2"/>
      <charset val="162"/>
    </font>
    <font>
      <b/>
      <u/>
      <sz val="10"/>
      <name val="Arial"/>
      <family val="2"/>
      <charset val="162"/>
    </font>
    <font>
      <sz val="12"/>
      <name val="Times New Roman"/>
      <family val="1"/>
      <charset val="162"/>
    </font>
    <font>
      <sz val="12"/>
      <color rgb="FFFF0000"/>
      <name val="Arial"/>
      <family val="2"/>
      <charset val="162"/>
    </font>
    <font>
      <b/>
      <sz val="14"/>
      <name val="Arial"/>
      <family val="2"/>
      <charset val="162"/>
    </font>
    <font>
      <b/>
      <sz val="14"/>
      <name val="Arial"/>
      <family val="2"/>
    </font>
    <font>
      <sz val="14"/>
      <name val="Arial"/>
      <family val="2"/>
    </font>
    <font>
      <b/>
      <u/>
      <sz val="12"/>
      <name val="Arial"/>
      <family val="2"/>
      <charset val="162"/>
    </font>
    <font>
      <sz val="10"/>
      <color rgb="FFFF0000"/>
      <name val="Arial"/>
      <family val="2"/>
      <charset val="162"/>
    </font>
    <font>
      <sz val="15"/>
      <color rgb="FFFF0000"/>
      <name val="Arial"/>
      <family val="2"/>
      <charset val="162"/>
    </font>
    <font>
      <sz val="10"/>
      <color theme="1"/>
      <name val="Arial"/>
      <family val="2"/>
    </font>
    <font>
      <u/>
      <sz val="10"/>
      <name val="Arial"/>
      <family val="2"/>
      <charset val="162"/>
    </font>
    <font>
      <b/>
      <u/>
      <sz val="12"/>
      <color theme="1"/>
      <name val="Times New Roman"/>
      <family val="1"/>
      <charset val="162"/>
    </font>
    <font>
      <sz val="12"/>
      <color theme="1"/>
      <name val="Times New Roman"/>
      <family val="1"/>
      <charset val="162"/>
    </font>
    <font>
      <b/>
      <sz val="12"/>
      <color theme="1"/>
      <name val="Times New Roman"/>
      <family val="1"/>
      <charset val="162"/>
    </font>
    <font>
      <sz val="11"/>
      <color theme="1"/>
      <name val="Times New Roman"/>
      <family val="1"/>
      <charset val="162"/>
    </font>
    <font>
      <b/>
      <sz val="11"/>
      <name val="Arial"/>
      <family val="2"/>
      <charset val="162"/>
    </font>
    <font>
      <sz val="11"/>
      <name val="Arial"/>
      <family val="2"/>
      <charset val="162"/>
    </font>
    <font>
      <i/>
      <sz val="11"/>
      <name val="Arial"/>
      <family val="2"/>
      <charset val="162"/>
    </font>
    <font>
      <b/>
      <sz val="12"/>
      <name val="Verdana"/>
      <family val="2"/>
      <charset val="162"/>
    </font>
    <font>
      <b/>
      <sz val="10"/>
      <color indexed="8"/>
      <name val="Arial"/>
      <family val="2"/>
      <charset val="162"/>
    </font>
    <font>
      <sz val="11"/>
      <color rgb="FFFF0000"/>
      <name val="Arial"/>
      <family val="2"/>
      <charset val="162"/>
    </font>
    <font>
      <i/>
      <sz val="12"/>
      <name val="Arial"/>
      <family val="2"/>
      <charset val="162"/>
    </font>
    <font>
      <b/>
      <sz val="12"/>
      <name val="Calibri"/>
      <family val="2"/>
      <charset val="162"/>
      <scheme val="minor"/>
    </font>
    <font>
      <sz val="12"/>
      <name val="Calibri"/>
      <family val="2"/>
      <charset val="162"/>
      <scheme val="minor"/>
    </font>
    <font>
      <sz val="10"/>
      <color indexed="9"/>
      <name val="Arial"/>
      <family val="2"/>
      <charset val="162"/>
    </font>
    <font>
      <b/>
      <u/>
      <sz val="10"/>
      <color indexed="9"/>
      <name val="Arial"/>
      <family val="2"/>
      <charset val="162"/>
    </font>
    <font>
      <sz val="12"/>
      <color theme="1" tint="4.9989318521683403E-2"/>
      <name val="Arial"/>
      <family val="2"/>
      <charset val="162"/>
    </font>
    <font>
      <sz val="11"/>
      <color theme="1" tint="4.9989318521683403E-2"/>
      <name val="Arial"/>
      <family val="2"/>
      <charset val="162"/>
    </font>
    <font>
      <sz val="10"/>
      <color theme="1" tint="4.9989318521683403E-2"/>
      <name val="Arial"/>
      <family val="2"/>
      <charset val="162"/>
    </font>
    <font>
      <b/>
      <u/>
      <sz val="12"/>
      <color theme="1"/>
      <name val="Arial"/>
      <family val="2"/>
      <charset val="162"/>
    </font>
    <font>
      <sz val="12"/>
      <color theme="1"/>
      <name val="Arial"/>
      <family val="2"/>
      <charset val="162"/>
    </font>
    <font>
      <b/>
      <sz val="12"/>
      <color theme="1"/>
      <name val="Arial"/>
      <family val="2"/>
      <charset val="162"/>
    </font>
    <font>
      <sz val="11"/>
      <color theme="1"/>
      <name val="Arial"/>
      <family val="2"/>
      <charset val="16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s>
  <borders count="7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8">
    <xf numFmtId="0" fontId="0" fillId="0" borderId="0"/>
    <xf numFmtId="0" fontId="5" fillId="0" borderId="0" applyNumberFormat="0" applyFill="0" applyBorder="0" applyAlignment="0" applyProtection="0">
      <alignment vertical="top"/>
      <protection locked="0"/>
    </xf>
    <xf numFmtId="0" fontId="32" fillId="0" borderId="0"/>
    <xf numFmtId="170" fontId="4" fillId="0" borderId="0" applyFont="0" applyFill="0" applyBorder="0" applyAlignment="0" applyProtection="0"/>
    <xf numFmtId="0" fontId="7" fillId="0" borderId="0"/>
    <xf numFmtId="0" fontId="3" fillId="0" borderId="0"/>
    <xf numFmtId="0" fontId="2" fillId="0" borderId="0"/>
    <xf numFmtId="0" fontId="1" fillId="0" borderId="0"/>
  </cellStyleXfs>
  <cellXfs count="893">
    <xf numFmtId="0" fontId="0" fillId="0" borderId="0" xfId="0"/>
    <xf numFmtId="0" fontId="0" fillId="0" borderId="0" xfId="0" applyBorder="1"/>
    <xf numFmtId="0" fontId="10" fillId="0" borderId="0" xfId="0" applyFont="1" applyAlignment="1">
      <alignment horizontal="center"/>
    </xf>
    <xf numFmtId="0" fontId="10" fillId="0" borderId="0" xfId="0" applyFont="1"/>
    <xf numFmtId="3" fontId="10" fillId="0" borderId="0" xfId="0" applyNumberFormat="1" applyFont="1"/>
    <xf numFmtId="0" fontId="7" fillId="0" borderId="0" xfId="0" applyFont="1" applyAlignment="1">
      <alignment horizontal="center"/>
    </xf>
    <xf numFmtId="0" fontId="0" fillId="0" borderId="0" xfId="0" applyAlignment="1"/>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vertical="center" wrapText="1"/>
    </xf>
    <xf numFmtId="0" fontId="0" fillId="0" borderId="12" xfId="0" applyBorder="1"/>
    <xf numFmtId="0" fontId="0" fillId="0" borderId="13" xfId="0" applyBorder="1"/>
    <xf numFmtId="0" fontId="0" fillId="0" borderId="14" xfId="0" applyBorder="1"/>
    <xf numFmtId="0" fontId="0" fillId="0" borderId="0" xfId="0" applyBorder="1" applyAlignment="1">
      <alignment horizontal="left"/>
    </xf>
    <xf numFmtId="0" fontId="15" fillId="0" borderId="0" xfId="0" applyFont="1" applyAlignment="1">
      <alignment horizontal="left"/>
    </xf>
    <xf numFmtId="0" fontId="15" fillId="0" borderId="0" xfId="0" applyFont="1" applyBorder="1" applyAlignment="1">
      <alignment horizontal="left" indent="2"/>
    </xf>
    <xf numFmtId="0" fontId="15" fillId="0" borderId="0" xfId="0" applyFont="1" applyBorder="1"/>
    <xf numFmtId="0" fontId="0" fillId="0" borderId="16" xfId="0" applyBorder="1" applyAlignment="1">
      <alignment horizontal="left" vertical="center"/>
    </xf>
    <xf numFmtId="0" fontId="0" fillId="0" borderId="17" xfId="0" applyBorder="1" applyAlignment="1">
      <alignment horizontal="left" vertical="center"/>
    </xf>
    <xf numFmtId="0" fontId="0" fillId="0" borderId="4" xfId="0" applyBorder="1" applyAlignment="1">
      <alignment horizontal="right" vertical="center"/>
    </xf>
    <xf numFmtId="0" fontId="0" fillId="0" borderId="8" xfId="0" applyBorder="1" applyAlignment="1">
      <alignment horizontal="right" vertical="center"/>
    </xf>
    <xf numFmtId="0" fontId="0" fillId="0" borderId="20" xfId="0" applyBorder="1" applyAlignment="1">
      <alignment horizontal="left" vertical="center"/>
    </xf>
    <xf numFmtId="0" fontId="15" fillId="0" borderId="0"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Alignment="1">
      <alignment horizontal="left" vertical="center" wrapText="1"/>
    </xf>
    <xf numFmtId="0" fontId="0" fillId="0" borderId="0" xfId="0" applyAlignment="1">
      <alignment horizontal="right" vertical="center"/>
    </xf>
    <xf numFmtId="0" fontId="0" fillId="0" borderId="0" xfId="0" applyAlignment="1">
      <alignment horizontal="left" vertical="center"/>
    </xf>
    <xf numFmtId="0" fontId="0" fillId="0" borderId="23" xfId="0" applyBorder="1" applyAlignment="1">
      <alignment horizontal="center" vertical="center"/>
    </xf>
    <xf numFmtId="0" fontId="0" fillId="0" borderId="3" xfId="0" quotePrefix="1" applyBorder="1" applyAlignment="1">
      <alignment horizontal="center" vertical="center"/>
    </xf>
    <xf numFmtId="0" fontId="0" fillId="0" borderId="1" xfId="0" quotePrefix="1" applyBorder="1" applyAlignment="1">
      <alignment horizontal="center" vertical="center"/>
    </xf>
    <xf numFmtId="16" fontId="0" fillId="0" borderId="24" xfId="0" quotePrefix="1" applyNumberFormat="1" applyBorder="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15" fillId="0" borderId="0" xfId="0" quotePrefix="1" applyFont="1" applyAlignment="1">
      <alignment horizontal="left" vertical="center"/>
    </xf>
    <xf numFmtId="0" fontId="15" fillId="0" borderId="0" xfId="0" quotePrefix="1" applyFont="1" applyAlignment="1">
      <alignment horizontal="left"/>
    </xf>
    <xf numFmtId="0" fontId="20" fillId="0" borderId="10" xfId="0" applyFont="1" applyBorder="1" applyAlignment="1">
      <alignment horizont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0" xfId="0" applyFont="1" applyBorder="1" applyAlignment="1">
      <alignment horizontal="left"/>
    </xf>
    <xf numFmtId="14" fontId="20" fillId="0" borderId="0" xfId="0" applyNumberFormat="1" applyFont="1" applyBorder="1" applyAlignment="1">
      <alignment horizontal="left"/>
    </xf>
    <xf numFmtId="0" fontId="20" fillId="0" borderId="0" xfId="0" applyFont="1" applyBorder="1"/>
    <xf numFmtId="0" fontId="20" fillId="0" borderId="11" xfId="0" applyFont="1" applyBorder="1" applyAlignment="1">
      <alignment horizontal="left"/>
    </xf>
    <xf numFmtId="0" fontId="20" fillId="0" borderId="0" xfId="0" applyFont="1" applyFill="1" applyBorder="1" applyAlignment="1">
      <alignment horizontal="center"/>
    </xf>
    <xf numFmtId="0" fontId="20" fillId="0" borderId="11" xfId="0" applyFont="1" applyBorder="1"/>
    <xf numFmtId="0" fontId="20" fillId="0" borderId="31" xfId="0" applyFont="1" applyBorder="1"/>
    <xf numFmtId="0" fontId="20" fillId="0" borderId="32" xfId="0" applyFont="1" applyBorder="1"/>
    <xf numFmtId="0" fontId="20" fillId="0" borderId="33" xfId="0" applyFont="1" applyBorder="1"/>
    <xf numFmtId="0" fontId="20" fillId="0" borderId="13" xfId="0" applyFont="1" applyBorder="1"/>
    <xf numFmtId="0" fontId="20" fillId="0" borderId="14" xfId="0" applyFont="1" applyBorder="1"/>
    <xf numFmtId="0" fontId="20" fillId="0" borderId="10" xfId="0" quotePrefix="1" applyFont="1" applyBorder="1" applyAlignment="1">
      <alignment horizontal="left" vertical="center"/>
    </xf>
    <xf numFmtId="0" fontId="25" fillId="0" borderId="0" xfId="0" applyFont="1" applyBorder="1" applyAlignment="1">
      <alignment horizontal="center" vertical="center"/>
    </xf>
    <xf numFmtId="0" fontId="20" fillId="0" borderId="11" xfId="0" applyFont="1" applyFill="1" applyBorder="1" applyAlignment="1">
      <alignment horizontal="center"/>
    </xf>
    <xf numFmtId="0" fontId="26" fillId="0" borderId="0" xfId="0" applyFont="1" applyAlignment="1"/>
    <xf numFmtId="0" fontId="23" fillId="0" borderId="0" xfId="0" applyFont="1" applyBorder="1" applyAlignment="1">
      <alignment horizontal="left" vertical="center"/>
    </xf>
    <xf numFmtId="0" fontId="23" fillId="0" borderId="10" xfId="0" applyFont="1" applyBorder="1" applyAlignment="1">
      <alignment horizontal="left" vertical="center"/>
    </xf>
    <xf numFmtId="3" fontId="26" fillId="0" borderId="0" xfId="0" applyNumberFormat="1" applyFont="1"/>
    <xf numFmtId="3" fontId="17" fillId="0" borderId="0" xfId="0" applyNumberFormat="1" applyFont="1"/>
    <xf numFmtId="165" fontId="26" fillId="0" borderId="0" xfId="0" applyNumberFormat="1" applyFont="1" applyAlignment="1"/>
    <xf numFmtId="169" fontId="26" fillId="0" borderId="0" xfId="0" applyNumberFormat="1" applyFont="1" applyAlignment="1"/>
    <xf numFmtId="0" fontId="20" fillId="0" borderId="0" xfId="0" applyFont="1" applyBorder="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xf numFmtId="0" fontId="20" fillId="0" borderId="10" xfId="0" applyFont="1" applyBorder="1" applyAlignment="1">
      <alignment horizontal="left"/>
    </xf>
    <xf numFmtId="0" fontId="20" fillId="0" borderId="0" xfId="0" applyFont="1" applyBorder="1" applyAlignment="1">
      <alignment horizontal="left"/>
    </xf>
    <xf numFmtId="0" fontId="0" fillId="0" borderId="0" xfId="0" applyAlignment="1">
      <alignment vertical="center"/>
    </xf>
    <xf numFmtId="49" fontId="34" fillId="0" borderId="3" xfId="0" applyNumberFormat="1" applyFont="1" applyBorder="1" applyAlignment="1">
      <alignment horizontal="left" vertical="center"/>
    </xf>
    <xf numFmtId="0" fontId="20" fillId="0" borderId="10" xfId="0" applyFont="1" applyBorder="1" applyAlignment="1"/>
    <xf numFmtId="0" fontId="20" fillId="0" borderId="0" xfId="0" applyFont="1" applyBorder="1" applyAlignment="1"/>
    <xf numFmtId="0" fontId="33" fillId="0" borderId="11" xfId="0" applyFont="1" applyBorder="1" applyAlignment="1">
      <alignment vertical="top" readingOrder="2"/>
    </xf>
    <xf numFmtId="0" fontId="33" fillId="0" borderId="13" xfId="0" applyFont="1" applyBorder="1" applyAlignment="1">
      <alignment vertical="top" readingOrder="2"/>
    </xf>
    <xf numFmtId="0" fontId="33" fillId="0" borderId="14" xfId="0" applyFont="1" applyBorder="1" applyAlignment="1">
      <alignment vertical="top" readingOrder="2"/>
    </xf>
    <xf numFmtId="0" fontId="33" fillId="0" borderId="0" xfId="0" applyFont="1" applyBorder="1" applyAlignment="1">
      <alignment vertical="top" readingOrder="2"/>
    </xf>
    <xf numFmtId="0" fontId="20" fillId="0" borderId="13" xfId="0" applyFont="1" applyBorder="1" applyAlignment="1">
      <alignment horizontal="left"/>
    </xf>
    <xf numFmtId="0" fontId="36" fillId="0" borderId="12" xfId="0" applyFont="1" applyBorder="1" applyAlignment="1">
      <alignment horizontal="left"/>
    </xf>
    <xf numFmtId="0" fontId="20" fillId="0" borderId="11" xfId="0" applyFont="1" applyBorder="1" applyAlignment="1"/>
    <xf numFmtId="0" fontId="38" fillId="0" borderId="0" xfId="0" applyFont="1"/>
    <xf numFmtId="2" fontId="17" fillId="0" borderId="0" xfId="0" applyNumberFormat="1" applyFont="1" applyAlignment="1">
      <alignment horizontal="center" vertical="center"/>
    </xf>
    <xf numFmtId="3" fontId="17" fillId="0" borderId="0" xfId="0" applyNumberFormat="1" applyFont="1" applyAlignment="1">
      <alignment horizontal="center" vertical="center"/>
    </xf>
    <xf numFmtId="0" fontId="0" fillId="0" borderId="0" xfId="0" applyAlignment="1">
      <alignment horizontal="center" vertical="center"/>
    </xf>
    <xf numFmtId="0" fontId="17" fillId="0" borderId="0" xfId="0" applyFont="1" applyAlignment="1">
      <alignment horizontal="center"/>
    </xf>
    <xf numFmtId="0" fontId="0" fillId="0" borderId="0" xfId="0" applyAlignment="1">
      <alignment horizontal="center"/>
    </xf>
    <xf numFmtId="0" fontId="20" fillId="0" borderId="13" xfId="0" applyFont="1" applyBorder="1" applyAlignment="1">
      <alignment horizontal="center" vertical="center"/>
    </xf>
    <xf numFmtId="0" fontId="39" fillId="0" borderId="0" xfId="0" applyFont="1" applyAlignment="1"/>
    <xf numFmtId="0" fontId="28" fillId="0" borderId="0" xfId="0" applyFont="1" applyAlignment="1"/>
    <xf numFmtId="0" fontId="14" fillId="0" borderId="0" xfId="0" applyFont="1" applyBorder="1" applyAlignment="1">
      <alignment horizontal="left" vertical="center"/>
    </xf>
    <xf numFmtId="0" fontId="20" fillId="0" borderId="32" xfId="0" applyFont="1" applyBorder="1" applyAlignment="1">
      <alignment horizontal="center"/>
    </xf>
    <xf numFmtId="0" fontId="12" fillId="0" borderId="0" xfId="0" applyFont="1" applyBorder="1" applyAlignment="1">
      <alignment horizontal="left"/>
    </xf>
    <xf numFmtId="0" fontId="22" fillId="0" borderId="9" xfId="0" applyNumberFormat="1" applyFont="1" applyBorder="1" applyAlignment="1">
      <alignment vertical="center" wrapText="1"/>
    </xf>
    <xf numFmtId="0" fontId="30" fillId="2" borderId="4" xfId="0" applyFont="1" applyFill="1" applyBorder="1" applyAlignment="1">
      <alignment horizontal="center" vertical="top" wrapText="1"/>
    </xf>
    <xf numFmtId="0" fontId="30" fillId="2" borderId="36" xfId="0" applyFont="1" applyFill="1" applyBorder="1" applyAlignment="1">
      <alignment horizontal="center" vertical="top" wrapText="1"/>
    </xf>
    <xf numFmtId="0" fontId="6" fillId="0" borderId="0" xfId="4" applyFont="1" applyAlignment="1">
      <alignment vertical="center"/>
    </xf>
    <xf numFmtId="0" fontId="7" fillId="0" borderId="0" xfId="4" applyAlignment="1">
      <alignment vertical="center"/>
    </xf>
    <xf numFmtId="0" fontId="43" fillId="0" borderId="13" xfId="0" applyFont="1" applyBorder="1" applyAlignment="1">
      <alignment vertical="top" readingOrder="2"/>
    </xf>
    <xf numFmtId="175" fontId="20" fillId="0" borderId="0" xfId="0" applyNumberFormat="1" applyFont="1" applyBorder="1" applyAlignment="1">
      <alignment horizontal="left"/>
    </xf>
    <xf numFmtId="0" fontId="4" fillId="0" borderId="0" xfId="0" applyFont="1" applyBorder="1" applyAlignment="1"/>
    <xf numFmtId="167" fontId="0" fillId="0" borderId="5" xfId="0" applyNumberFormat="1" applyBorder="1" applyAlignment="1">
      <alignment horizontal="right" vertical="center"/>
    </xf>
    <xf numFmtId="167" fontId="7" fillId="0" borderId="3" xfId="0" applyNumberFormat="1" applyFont="1" applyBorder="1" applyAlignment="1">
      <alignment horizontal="right" vertical="center"/>
    </xf>
    <xf numFmtId="167" fontId="30" fillId="0" borderId="3" xfId="0" applyNumberFormat="1" applyFont="1" applyFill="1" applyBorder="1" applyAlignment="1">
      <alignment horizontal="right" vertical="center" wrapText="1"/>
    </xf>
    <xf numFmtId="167" fontId="0" fillId="0" borderId="3" xfId="0" applyNumberFormat="1" applyBorder="1" applyAlignment="1">
      <alignment horizontal="right" vertical="center"/>
    </xf>
    <xf numFmtId="0" fontId="30" fillId="2" borderId="4" xfId="0" applyFont="1" applyFill="1" applyBorder="1" applyAlignment="1">
      <alignment horizontal="center" vertical="center" wrapText="1"/>
    </xf>
    <xf numFmtId="49" fontId="11" fillId="0" borderId="39" xfId="0" applyNumberFormat="1" applyFont="1" applyBorder="1" applyAlignment="1">
      <alignment vertical="center" wrapText="1"/>
    </xf>
    <xf numFmtId="169" fontId="6" fillId="0" borderId="1" xfId="0" applyNumberFormat="1" applyFont="1" applyBorder="1" applyAlignment="1">
      <alignment vertical="center"/>
    </xf>
    <xf numFmtId="169" fontId="6" fillId="0" borderId="6" xfId="0" applyNumberFormat="1" applyFont="1" applyBorder="1" applyAlignment="1">
      <alignment vertical="center"/>
    </xf>
    <xf numFmtId="0" fontId="20" fillId="0" borderId="2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7" xfId="0" applyFont="1" applyBorder="1" applyAlignment="1">
      <alignment vertical="center" wrapText="1"/>
    </xf>
    <xf numFmtId="0" fontId="11" fillId="0" borderId="39" xfId="0" applyFont="1" applyBorder="1" applyAlignment="1">
      <alignment horizontal="left" vertical="center" wrapText="1"/>
    </xf>
    <xf numFmtId="0" fontId="14" fillId="0" borderId="9" xfId="0" applyFont="1" applyBorder="1" applyAlignment="1">
      <alignment wrapText="1"/>
    </xf>
    <xf numFmtId="0" fontId="20" fillId="0" borderId="35" xfId="0" applyFont="1" applyBorder="1" applyAlignment="1">
      <alignment horizontal="center" vertical="center" wrapText="1"/>
    </xf>
    <xf numFmtId="166" fontId="0" fillId="0" borderId="0" xfId="0" applyNumberFormat="1" applyAlignment="1"/>
    <xf numFmtId="164" fontId="0" fillId="0" borderId="3" xfId="0" applyNumberFormat="1" applyBorder="1" applyAlignment="1">
      <alignment horizontal="right" vertical="center"/>
    </xf>
    <xf numFmtId="164" fontId="0" fillId="0" borderId="0" xfId="0" applyNumberFormat="1" applyAlignment="1"/>
    <xf numFmtId="164" fontId="26" fillId="0" borderId="0" xfId="0" applyNumberFormat="1" applyFont="1" applyAlignment="1"/>
    <xf numFmtId="0" fontId="6" fillId="0" borderId="0" xfId="0" applyFont="1" applyAlignment="1">
      <alignment horizontal="center" vertical="center" wrapText="1"/>
    </xf>
    <xf numFmtId="0" fontId="42" fillId="0" borderId="0" xfId="4" applyFont="1" applyAlignment="1">
      <alignment vertical="center"/>
    </xf>
    <xf numFmtId="169" fontId="30" fillId="0" borderId="3" xfId="0" applyNumberFormat="1" applyFont="1" applyFill="1" applyBorder="1" applyAlignment="1">
      <alignment horizontal="right" vertical="center" wrapText="1"/>
    </xf>
    <xf numFmtId="169" fontId="30" fillId="0" borderId="18" xfId="0" applyNumberFormat="1" applyFont="1" applyFill="1" applyBorder="1" applyAlignment="1">
      <alignment horizontal="right" vertical="center" wrapText="1"/>
    </xf>
    <xf numFmtId="169" fontId="0" fillId="0" borderId="5" xfId="0" applyNumberFormat="1" applyBorder="1" applyAlignment="1">
      <alignment horizontal="right" vertical="center"/>
    </xf>
    <xf numFmtId="169" fontId="7" fillId="0" borderId="2" xfId="0" applyNumberFormat="1" applyFont="1" applyBorder="1" applyAlignment="1">
      <alignment horizontal="right" vertical="center"/>
    </xf>
    <xf numFmtId="0" fontId="0" fillId="0" borderId="0" xfId="0" applyAlignment="1">
      <alignment horizontal="center"/>
    </xf>
    <xf numFmtId="0" fontId="20" fillId="0" borderId="4" xfId="0" applyFont="1" applyBorder="1" applyAlignment="1">
      <alignment horizontal="center" vertical="center"/>
    </xf>
    <xf numFmtId="0" fontId="20" fillId="0" borderId="0" xfId="0" applyFont="1" applyBorder="1" applyAlignment="1">
      <alignment horizontal="center"/>
    </xf>
    <xf numFmtId="0" fontId="20" fillId="0" borderId="11" xfId="0" applyFont="1" applyBorder="1" applyAlignment="1">
      <alignment horizontal="center"/>
    </xf>
    <xf numFmtId="0" fontId="20" fillId="0" borderId="10" xfId="0" applyFont="1" applyBorder="1" applyAlignment="1">
      <alignment horizontal="center"/>
    </xf>
    <xf numFmtId="0" fontId="20" fillId="0" borderId="10" xfId="0" applyFont="1" applyBorder="1" applyAlignment="1">
      <alignment horizontal="left"/>
    </xf>
    <xf numFmtId="0" fontId="20" fillId="0" borderId="0" xfId="0" applyFont="1" applyBorder="1" applyAlignment="1">
      <alignment horizontal="left"/>
    </xf>
    <xf numFmtId="0" fontId="20" fillId="0" borderId="32" xfId="0" applyFont="1" applyBorder="1" applyAlignment="1">
      <alignment horizontal="center"/>
    </xf>
    <xf numFmtId="0" fontId="20" fillId="0" borderId="13" xfId="0" applyFont="1" applyBorder="1" applyAlignment="1">
      <alignment horizontal="left"/>
    </xf>
    <xf numFmtId="3" fontId="23" fillId="0" borderId="1" xfId="0" applyNumberFormat="1" applyFont="1" applyBorder="1" applyAlignment="1">
      <alignment vertical="center"/>
    </xf>
    <xf numFmtId="3" fontId="23" fillId="0" borderId="24" xfId="0" applyNumberFormat="1" applyFont="1" applyBorder="1" applyAlignment="1">
      <alignment vertical="center" wrapText="1"/>
    </xf>
    <xf numFmtId="172" fontId="12" fillId="0" borderId="3" xfId="0" applyNumberFormat="1" applyFont="1" applyBorder="1" applyAlignment="1">
      <alignment horizontal="center" vertical="center"/>
    </xf>
    <xf numFmtId="173" fontId="12" fillId="0" borderId="3" xfId="0" applyNumberFormat="1" applyFont="1" applyBorder="1" applyAlignment="1">
      <alignment vertical="center"/>
    </xf>
    <xf numFmtId="0" fontId="12" fillId="0" borderId="3" xfId="0" applyFont="1" applyBorder="1" applyAlignment="1">
      <alignment horizontal="center" vertical="center"/>
    </xf>
    <xf numFmtId="173" fontId="23" fillId="0" borderId="3" xfId="0" applyNumberFormat="1" applyFont="1" applyBorder="1" applyAlignment="1">
      <alignment vertical="center"/>
    </xf>
    <xf numFmtId="0" fontId="17" fillId="0" borderId="3" xfId="0" applyFont="1" applyBorder="1" applyAlignment="1">
      <alignment vertical="center"/>
    </xf>
    <xf numFmtId="173" fontId="26" fillId="0" borderId="3" xfId="0" applyNumberFormat="1" applyFont="1" applyBorder="1" applyAlignment="1">
      <alignment vertical="center"/>
    </xf>
    <xf numFmtId="0" fontId="23" fillId="0" borderId="4" xfId="0" applyFont="1" applyBorder="1" applyAlignment="1">
      <alignment horizontal="center" vertical="center"/>
    </xf>
    <xf numFmtId="0" fontId="26" fillId="0" borderId="4" xfId="0" applyFont="1" applyBorder="1" applyAlignment="1">
      <alignment horizontal="center" vertical="center"/>
    </xf>
    <xf numFmtId="0" fontId="27" fillId="0" borderId="8" xfId="0" applyFont="1" applyBorder="1" applyAlignment="1">
      <alignment horizontal="center" vertical="center"/>
    </xf>
    <xf numFmtId="0" fontId="22" fillId="0" borderId="4" xfId="0" applyFont="1" applyBorder="1" applyAlignment="1">
      <alignment horizontal="center" vertical="center"/>
    </xf>
    <xf numFmtId="0" fontId="22" fillId="0" borderId="34" xfId="0" applyFont="1" applyBorder="1" applyAlignment="1">
      <alignment horizontal="center" vertical="center"/>
    </xf>
    <xf numFmtId="0" fontId="22" fillId="0" borderId="36" xfId="0" applyFont="1" applyBorder="1" applyAlignment="1">
      <alignment horizontal="center" vertical="center"/>
    </xf>
    <xf numFmtId="173" fontId="7" fillId="0" borderId="3" xfId="0" applyNumberFormat="1" applyFont="1" applyBorder="1" applyAlignment="1">
      <alignment vertical="center"/>
    </xf>
    <xf numFmtId="168" fontId="30" fillId="2" borderId="3" xfId="0" applyNumberFormat="1" applyFont="1" applyFill="1" applyBorder="1" applyAlignment="1">
      <alignment horizontal="center" vertical="center" wrapText="1"/>
    </xf>
    <xf numFmtId="173" fontId="7" fillId="0" borderId="5" xfId="0" applyNumberFormat="1" applyFont="1" applyBorder="1" applyAlignment="1">
      <alignment vertical="center"/>
    </xf>
    <xf numFmtId="0" fontId="20" fillId="0" borderId="3" xfId="2" applyNumberFormat="1" applyFont="1" applyBorder="1" applyAlignment="1" applyProtection="1">
      <alignment horizontal="justify" vertical="center" wrapText="1"/>
    </xf>
    <xf numFmtId="0" fontId="17" fillId="0" borderId="41" xfId="0" applyFont="1" applyBorder="1" applyAlignment="1">
      <alignment horizontal="center" vertical="center"/>
    </xf>
    <xf numFmtId="173" fontId="7" fillId="0" borderId="41" xfId="0" applyNumberFormat="1" applyFont="1" applyBorder="1" applyAlignment="1">
      <alignment vertical="center"/>
    </xf>
    <xf numFmtId="173" fontId="14" fillId="0" borderId="39" xfId="0" applyNumberFormat="1" applyFont="1" applyBorder="1" applyAlignment="1">
      <alignment vertical="center"/>
    </xf>
    <xf numFmtId="168" fontId="14" fillId="0" borderId="39" xfId="0" applyNumberFormat="1" applyFont="1" applyBorder="1" applyAlignment="1">
      <alignment horizontal="center" vertical="center"/>
    </xf>
    <xf numFmtId="4" fontId="14" fillId="0" borderId="39" xfId="0" applyNumberFormat="1" applyFont="1" applyBorder="1" applyAlignment="1">
      <alignment vertical="center"/>
    </xf>
    <xf numFmtId="173" fontId="14" fillId="0" borderId="9" xfId="0" applyNumberFormat="1" applyFont="1" applyBorder="1" applyAlignment="1">
      <alignment vertical="center"/>
    </xf>
    <xf numFmtId="0" fontId="7" fillId="0" borderId="0" xfId="4" applyFont="1" applyAlignment="1">
      <alignment vertical="center"/>
    </xf>
    <xf numFmtId="0" fontId="4" fillId="0" borderId="0" xfId="4" applyFont="1" applyAlignment="1">
      <alignment vertical="center"/>
    </xf>
    <xf numFmtId="49" fontId="4" fillId="0" borderId="3" xfId="0" applyNumberFormat="1" applyFont="1" applyBorder="1" applyAlignment="1">
      <alignment horizontal="center" vertical="center"/>
    </xf>
    <xf numFmtId="0" fontId="0" fillId="0" borderId="25" xfId="0" applyBorder="1" applyAlignment="1">
      <alignment horizontal="left" vertical="center"/>
    </xf>
    <xf numFmtId="0" fontId="0" fillId="0" borderId="25" xfId="0" applyBorder="1" applyAlignment="1">
      <alignment horizontal="center" vertical="center"/>
    </xf>
    <xf numFmtId="0" fontId="0" fillId="0" borderId="15" xfId="0" applyBorder="1" applyAlignment="1">
      <alignment vertical="center"/>
    </xf>
    <xf numFmtId="0" fontId="0" fillId="0" borderId="25" xfId="0" applyBorder="1" applyAlignment="1">
      <alignment horizontal="right" vertical="center"/>
    </xf>
    <xf numFmtId="0" fontId="0" fillId="0" borderId="18" xfId="0" applyBorder="1" applyAlignment="1">
      <alignment horizontal="center" vertical="center"/>
    </xf>
    <xf numFmtId="0" fontId="0" fillId="0" borderId="19" xfId="0" applyBorder="1" applyAlignment="1">
      <alignment vertical="center"/>
    </xf>
    <xf numFmtId="0" fontId="0" fillId="0" borderId="18" xfId="0" applyBorder="1" applyAlignment="1">
      <alignment horizontal="right" vertical="center"/>
    </xf>
    <xf numFmtId="0" fontId="0" fillId="0" borderId="18" xfId="0" applyBorder="1" applyAlignment="1">
      <alignment horizontal="left" vertical="center"/>
    </xf>
    <xf numFmtId="0" fontId="4" fillId="0" borderId="18" xfId="0" applyFont="1" applyBorder="1" applyAlignment="1">
      <alignment horizontal="center" vertical="center"/>
    </xf>
    <xf numFmtId="0" fontId="0" fillId="0" borderId="5" xfId="0" applyBorder="1" applyAlignment="1">
      <alignment vertical="center"/>
    </xf>
    <xf numFmtId="0" fontId="0" fillId="0" borderId="18" xfId="0" applyBorder="1" applyAlignment="1">
      <alignment vertical="center"/>
    </xf>
    <xf numFmtId="0" fontId="0" fillId="0" borderId="17"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1" xfId="0" applyBorder="1" applyAlignment="1">
      <alignment horizontal="center" vertical="center"/>
    </xf>
    <xf numFmtId="0" fontId="0" fillId="0" borderId="6" xfId="0" applyBorder="1" applyAlignment="1">
      <alignment vertical="center"/>
    </xf>
    <xf numFmtId="0" fontId="18" fillId="0" borderId="13" xfId="0" applyFont="1" applyBorder="1" applyAlignment="1">
      <alignment horizontal="left" vertical="center"/>
    </xf>
    <xf numFmtId="0" fontId="16" fillId="0" borderId="13" xfId="0" applyFont="1" applyBorder="1" applyAlignment="1">
      <alignment horizontal="right" vertical="center"/>
    </xf>
    <xf numFmtId="0" fontId="0" fillId="0" borderId="0" xfId="0" applyBorder="1" applyAlignment="1">
      <alignment vertical="center"/>
    </xf>
    <xf numFmtId="0" fontId="23" fillId="0" borderId="23" xfId="0" applyFont="1" applyBorder="1" applyAlignment="1">
      <alignment horizontal="center" vertical="center" wrapText="1"/>
    </xf>
    <xf numFmtId="0" fontId="20" fillId="0" borderId="31" xfId="0" applyFont="1" applyBorder="1" applyAlignment="1">
      <alignment horizontal="left"/>
    </xf>
    <xf numFmtId="0" fontId="20" fillId="0" borderId="33" xfId="0" applyFont="1" applyFill="1" applyBorder="1" applyAlignment="1">
      <alignment horizontal="center"/>
    </xf>
    <xf numFmtId="0" fontId="17" fillId="0" borderId="0" xfId="0" applyFont="1" applyAlignment="1">
      <alignment horizontal="center" vertical="center"/>
    </xf>
    <xf numFmtId="0" fontId="19" fillId="0" borderId="0" xfId="0" applyFont="1" applyAlignment="1">
      <alignment vertical="center"/>
    </xf>
    <xf numFmtId="0" fontId="23" fillId="0" borderId="0" xfId="0" applyFont="1" applyBorder="1" applyAlignment="1">
      <alignment vertical="center"/>
    </xf>
    <xf numFmtId="3" fontId="0" fillId="0" borderId="0" xfId="0" applyNumberFormat="1" applyBorder="1" applyAlignment="1">
      <alignment vertical="center"/>
    </xf>
    <xf numFmtId="0" fontId="10" fillId="0" borderId="0" xfId="0" applyFont="1" applyBorder="1" applyAlignment="1">
      <alignment vertical="center"/>
    </xf>
    <xf numFmtId="0" fontId="0" fillId="0" borderId="1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15" fillId="0" borderId="0" xfId="0" applyFont="1" applyAlignment="1">
      <alignment vertical="center"/>
    </xf>
    <xf numFmtId="0" fontId="8" fillId="0" borderId="0" xfId="0" applyFont="1" applyBorder="1" applyAlignment="1">
      <alignment horizontal="left" vertical="center"/>
    </xf>
    <xf numFmtId="0" fontId="9" fillId="0" borderId="0" xfId="0" applyFont="1" applyBorder="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vertical="center"/>
    </xf>
    <xf numFmtId="0" fontId="17" fillId="0" borderId="0" xfId="0" applyFont="1" applyBorder="1" applyAlignment="1">
      <alignment vertical="center"/>
    </xf>
    <xf numFmtId="173" fontId="0" fillId="0" borderId="0" xfId="0" applyNumberFormat="1" applyAlignment="1">
      <alignment vertical="center"/>
    </xf>
    <xf numFmtId="0" fontId="17" fillId="0" borderId="0" xfId="0" applyFont="1" applyBorder="1" applyAlignment="1">
      <alignment horizontal="left" vertical="center"/>
    </xf>
    <xf numFmtId="169"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171" fontId="17" fillId="0" borderId="0" xfId="0" applyNumberFormat="1" applyFont="1" applyAlignment="1">
      <alignment horizontal="center" vertical="center"/>
    </xf>
    <xf numFmtId="3" fontId="17" fillId="0" borderId="0" xfId="0" applyNumberFormat="1" applyFont="1" applyAlignment="1">
      <alignment vertical="center"/>
    </xf>
    <xf numFmtId="0" fontId="17" fillId="0" borderId="0" xfId="0" applyFont="1" applyAlignment="1">
      <alignment vertical="center"/>
    </xf>
    <xf numFmtId="0" fontId="6" fillId="0" borderId="0" xfId="0" applyFont="1" applyAlignment="1">
      <alignment vertical="center"/>
    </xf>
    <xf numFmtId="0" fontId="28" fillId="0" borderId="0" xfId="0" applyFont="1" applyAlignment="1">
      <alignment vertical="center"/>
    </xf>
    <xf numFmtId="0" fontId="7" fillId="0" borderId="0" xfId="0" applyFont="1" applyAlignment="1">
      <alignment vertical="center"/>
    </xf>
    <xf numFmtId="0" fontId="17" fillId="0" borderId="54" xfId="0" applyFont="1" applyBorder="1" applyAlignment="1">
      <alignment horizontal="center" vertical="center"/>
    </xf>
    <xf numFmtId="0" fontId="17" fillId="0" borderId="45" xfId="0" applyFont="1" applyBorder="1" applyAlignment="1">
      <alignment horizontal="center" vertical="center"/>
    </xf>
    <xf numFmtId="3" fontId="17" fillId="0" borderId="45" xfId="0" applyNumberFormat="1" applyFont="1" applyBorder="1" applyAlignment="1">
      <alignment horizontal="center" vertical="center"/>
    </xf>
    <xf numFmtId="2" fontId="17" fillId="0" borderId="45" xfId="0" applyNumberFormat="1" applyFont="1" applyBorder="1" applyAlignment="1">
      <alignment horizontal="center" vertical="center"/>
    </xf>
    <xf numFmtId="167" fontId="12" fillId="0" borderId="3" xfId="2" applyNumberFormat="1" applyFont="1" applyBorder="1" applyAlignment="1" applyProtection="1">
      <alignment horizontal="right" vertical="center"/>
      <protection locked="0"/>
    </xf>
    <xf numFmtId="0" fontId="38" fillId="0" borderId="0" xfId="0" applyFont="1" applyAlignment="1">
      <alignment vertical="center"/>
    </xf>
    <xf numFmtId="0" fontId="26" fillId="0" borderId="0" xfId="0" applyFont="1" applyAlignment="1">
      <alignment vertical="center"/>
    </xf>
    <xf numFmtId="165" fontId="26" fillId="0" borderId="0" xfId="0" applyNumberFormat="1" applyFont="1" applyAlignment="1">
      <alignment vertical="center"/>
    </xf>
    <xf numFmtId="0" fontId="10" fillId="0" borderId="0" xfId="0" applyFont="1" applyAlignment="1">
      <alignment vertical="center"/>
    </xf>
    <xf numFmtId="0" fontId="10" fillId="0" borderId="0" xfId="0" applyFont="1" applyAlignment="1">
      <alignment horizontal="center" vertical="center" wrapText="1"/>
    </xf>
    <xf numFmtId="0" fontId="4" fillId="0" borderId="0" xfId="0" applyFont="1" applyAlignment="1">
      <alignment vertical="center"/>
    </xf>
    <xf numFmtId="173" fontId="12" fillId="0" borderId="0" xfId="0" applyNumberFormat="1" applyFont="1" applyFill="1" applyBorder="1" applyAlignment="1">
      <alignment vertical="center"/>
    </xf>
    <xf numFmtId="0" fontId="9" fillId="0" borderId="0" xfId="0" applyFont="1" applyAlignment="1">
      <alignment vertical="center"/>
    </xf>
    <xf numFmtId="0" fontId="10" fillId="0" borderId="0" xfId="0" applyFont="1" applyAlignment="1">
      <alignment horizontal="center" vertical="center"/>
    </xf>
    <xf numFmtId="3" fontId="10" fillId="0" borderId="0" xfId="0" applyNumberFormat="1" applyFont="1" applyAlignment="1">
      <alignment vertical="center"/>
    </xf>
    <xf numFmtId="3" fontId="10" fillId="0" borderId="0" xfId="0" applyNumberFormat="1" applyFont="1" applyAlignment="1">
      <alignment horizontal="center" vertical="center"/>
    </xf>
    <xf numFmtId="0" fontId="8" fillId="0" borderId="0" xfId="0" applyFont="1" applyAlignment="1">
      <alignment horizontal="center" vertical="center"/>
    </xf>
    <xf numFmtId="3" fontId="23" fillId="0" borderId="56" xfId="0" applyNumberFormat="1" applyFont="1" applyBorder="1" applyAlignment="1">
      <alignment horizontal="center" vertical="center" wrapText="1"/>
    </xf>
    <xf numFmtId="3" fontId="23" fillId="0" borderId="6" xfId="0" applyNumberFormat="1" applyFont="1" applyBorder="1" applyAlignment="1">
      <alignment horizontal="center" vertical="center"/>
    </xf>
    <xf numFmtId="3" fontId="23" fillId="0" borderId="2" xfId="0" applyNumberFormat="1" applyFont="1" applyBorder="1" applyAlignment="1">
      <alignment horizontal="center" vertical="center" wrapText="1"/>
    </xf>
    <xf numFmtId="0" fontId="23" fillId="0" borderId="2" xfId="0" applyFont="1" applyBorder="1" applyAlignment="1">
      <alignment horizontal="center" vertical="center"/>
    </xf>
    <xf numFmtId="0" fontId="17" fillId="0" borderId="35" xfId="0" applyFont="1" applyBorder="1" applyAlignment="1">
      <alignment horizontal="center" vertical="center"/>
    </xf>
    <xf numFmtId="3" fontId="17" fillId="0" borderId="58" xfId="0" applyNumberFormat="1" applyFont="1" applyBorder="1" applyAlignment="1">
      <alignment horizontal="center" vertical="center"/>
    </xf>
    <xf numFmtId="0" fontId="17" fillId="0" borderId="26" xfId="0" applyFont="1" applyBorder="1" applyAlignment="1">
      <alignment vertical="center"/>
    </xf>
    <xf numFmtId="0" fontId="17" fillId="0" borderId="27" xfId="0" applyFont="1" applyBorder="1" applyAlignment="1">
      <alignment horizontal="center" vertical="center"/>
    </xf>
    <xf numFmtId="0" fontId="17" fillId="0" borderId="8" xfId="0" applyFont="1" applyBorder="1" applyAlignment="1">
      <alignment vertical="center"/>
    </xf>
    <xf numFmtId="0" fontId="17" fillId="0" borderId="6" xfId="0" applyFont="1" applyBorder="1" applyAlignment="1">
      <alignment horizontal="center" vertical="center"/>
    </xf>
    <xf numFmtId="0" fontId="22" fillId="0" borderId="8"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2" fillId="0" borderId="8" xfId="0" applyFont="1" applyBorder="1" applyAlignment="1">
      <alignment horizontal="center" vertical="center"/>
    </xf>
    <xf numFmtId="0" fontId="14" fillId="0" borderId="3" xfId="0" applyFont="1" applyBorder="1" applyAlignment="1">
      <alignment vertical="center"/>
    </xf>
    <xf numFmtId="0" fontId="14" fillId="0" borderId="44" xfId="0" applyFont="1" applyBorder="1" applyAlignment="1">
      <alignment vertical="center"/>
    </xf>
    <xf numFmtId="14" fontId="14" fillId="0" borderId="43" xfId="0" applyNumberFormat="1" applyFont="1" applyBorder="1" applyAlignment="1">
      <alignment vertical="center"/>
    </xf>
    <xf numFmtId="0" fontId="23" fillId="0" borderId="55" xfId="0" applyFont="1" applyBorder="1" applyAlignment="1">
      <alignment vertical="center"/>
    </xf>
    <xf numFmtId="0" fontId="23" fillId="0" borderId="56" xfId="0" applyFont="1" applyBorder="1" applyAlignment="1">
      <alignment vertical="center"/>
    </xf>
    <xf numFmtId="14" fontId="23" fillId="0" borderId="43" xfId="0" applyNumberFormat="1" applyFont="1" applyBorder="1" applyAlignment="1">
      <alignment vertical="center"/>
    </xf>
    <xf numFmtId="14" fontId="23" fillId="0" borderId="42" xfId="0" applyNumberFormat="1" applyFont="1" applyBorder="1" applyAlignment="1">
      <alignment vertical="center"/>
    </xf>
    <xf numFmtId="0" fontId="14" fillId="0" borderId="16" xfId="0" applyFont="1" applyBorder="1" applyAlignment="1">
      <alignment vertical="center"/>
    </xf>
    <xf numFmtId="0" fontId="23" fillId="0" borderId="18" xfId="0" applyFont="1" applyBorder="1" applyAlignment="1">
      <alignment vertical="center"/>
    </xf>
    <xf numFmtId="0" fontId="22" fillId="0" borderId="10" xfId="0" applyFont="1" applyBorder="1" applyAlignment="1">
      <alignment horizontal="center" vertical="center"/>
    </xf>
    <xf numFmtId="3" fontId="23" fillId="0" borderId="13"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14" xfId="0" applyFont="1" applyBorder="1" applyAlignment="1">
      <alignment vertical="center"/>
    </xf>
    <xf numFmtId="0" fontId="22" fillId="0" borderId="54" xfId="0" applyFont="1" applyBorder="1" applyAlignment="1">
      <alignment horizontal="center" vertical="center"/>
    </xf>
    <xf numFmtId="0" fontId="42" fillId="0" borderId="0" xfId="4" applyFont="1" applyAlignment="1">
      <alignment horizontal="center" vertical="center"/>
    </xf>
    <xf numFmtId="0" fontId="24" fillId="0" borderId="0" xfId="0" applyFont="1" applyBorder="1" applyAlignment="1"/>
    <xf numFmtId="0" fontId="24" fillId="0" borderId="11" xfId="0" applyFont="1" applyBorder="1" applyAlignment="1"/>
    <xf numFmtId="0" fontId="4" fillId="0" borderId="0" xfId="4" applyFont="1"/>
    <xf numFmtId="0" fontId="4" fillId="0" borderId="0" xfId="4" applyFont="1" applyAlignment="1">
      <alignment horizontal="left" vertical="top" wrapText="1"/>
    </xf>
    <xf numFmtId="0" fontId="6" fillId="0" borderId="0" xfId="4" applyFont="1" applyAlignment="1">
      <alignment horizontal="center" vertical="center" wrapText="1"/>
    </xf>
    <xf numFmtId="0" fontId="6" fillId="0" borderId="0" xfId="4" applyFont="1" applyAlignment="1">
      <alignment horizontal="center" vertical="center"/>
    </xf>
    <xf numFmtId="0" fontId="6" fillId="0" borderId="0" xfId="4" applyFont="1"/>
    <xf numFmtId="0" fontId="4" fillId="0" borderId="0" xfId="4" applyFont="1" applyAlignment="1"/>
    <xf numFmtId="176" fontId="0" fillId="0" borderId="0" xfId="0" applyNumberFormat="1" applyAlignment="1">
      <alignment horizontal="center" vertical="center"/>
    </xf>
    <xf numFmtId="176" fontId="0" fillId="0" borderId="0" xfId="0" applyNumberFormat="1" applyAlignment="1">
      <alignment vertical="center"/>
    </xf>
    <xf numFmtId="176" fontId="6" fillId="0" borderId="0" xfId="0" applyNumberFormat="1" applyFont="1" applyAlignment="1">
      <alignment horizontal="center" vertical="center"/>
    </xf>
    <xf numFmtId="176" fontId="44" fillId="0" borderId="0" xfId="0" applyNumberFormat="1" applyFont="1" applyAlignment="1">
      <alignment horizontal="center" vertical="center"/>
    </xf>
    <xf numFmtId="3" fontId="14" fillId="0" borderId="1" xfId="0" applyNumberFormat="1" applyFont="1" applyBorder="1" applyAlignment="1">
      <alignment vertical="center" wrapText="1"/>
    </xf>
    <xf numFmtId="173" fontId="23" fillId="0" borderId="3" xfId="0" applyNumberFormat="1" applyFont="1" applyBorder="1" applyAlignment="1">
      <alignment vertical="center"/>
    </xf>
    <xf numFmtId="0" fontId="4" fillId="0" borderId="0" xfId="0" applyFont="1" applyBorder="1" applyAlignment="1">
      <alignment horizontal="center" vertical="center"/>
    </xf>
    <xf numFmtId="167" fontId="0" fillId="0" borderId="0" xfId="0" applyNumberFormat="1" applyAlignment="1">
      <alignment vertical="center"/>
    </xf>
    <xf numFmtId="0" fontId="30" fillId="2" borderId="3" xfId="0" applyFont="1" applyFill="1" applyBorder="1" applyAlignment="1">
      <alignment horizontal="center" vertical="center" wrapText="1"/>
    </xf>
    <xf numFmtId="0" fontId="49" fillId="0" borderId="0" xfId="0" applyFont="1" applyAlignment="1">
      <alignment horizontal="center" vertical="center"/>
    </xf>
    <xf numFmtId="164" fontId="26" fillId="0" borderId="0" xfId="0" applyNumberFormat="1" applyFont="1" applyAlignment="1">
      <alignment vertical="center"/>
    </xf>
    <xf numFmtId="164" fontId="0" fillId="0" borderId="0" xfId="0" applyNumberFormat="1" applyAlignment="1">
      <alignment vertical="center"/>
    </xf>
    <xf numFmtId="0" fontId="4" fillId="0" borderId="0" xfId="0" applyFont="1" applyBorder="1"/>
    <xf numFmtId="0" fontId="52" fillId="0" borderId="0" xfId="0" applyFont="1" applyBorder="1" applyAlignment="1">
      <alignment horizontal="center" vertical="center" wrapText="1"/>
    </xf>
    <xf numFmtId="164" fontId="0" fillId="0" borderId="3" xfId="0" applyNumberFormat="1" applyFill="1" applyBorder="1" applyAlignment="1">
      <alignment horizontal="right" vertical="center"/>
    </xf>
    <xf numFmtId="0" fontId="20" fillId="0" borderId="3" xfId="2" applyNumberFormat="1" applyFont="1" applyFill="1" applyBorder="1" applyAlignment="1" applyProtection="1">
      <alignment horizontal="justify" vertical="center" wrapText="1"/>
    </xf>
    <xf numFmtId="173" fontId="7" fillId="0" borderId="3" xfId="0" applyNumberFormat="1" applyFont="1" applyFill="1" applyBorder="1" applyAlignment="1">
      <alignment vertical="center"/>
    </xf>
    <xf numFmtId="168" fontId="30" fillId="0" borderId="3" xfId="0" applyNumberFormat="1" applyFont="1" applyFill="1" applyBorder="1" applyAlignment="1">
      <alignment horizontal="center" vertical="center" wrapText="1"/>
    </xf>
    <xf numFmtId="164" fontId="29" fillId="0" borderId="3" xfId="0" applyNumberFormat="1" applyFont="1" applyFill="1" applyBorder="1" applyAlignment="1">
      <alignment horizontal="right" vertical="center"/>
    </xf>
    <xf numFmtId="173" fontId="12" fillId="0" borderId="3" xfId="0" applyNumberFormat="1" applyFont="1" applyBorder="1" applyAlignment="1">
      <alignment horizontal="right" vertical="center"/>
    </xf>
    <xf numFmtId="174" fontId="12" fillId="0" borderId="3" xfId="0" applyNumberFormat="1" applyFont="1" applyBorder="1" applyAlignment="1">
      <alignment horizontal="right" vertical="center"/>
    </xf>
    <xf numFmtId="174" fontId="51" fillId="0" borderId="3" xfId="0" applyNumberFormat="1" applyFont="1" applyBorder="1" applyAlignment="1">
      <alignment vertical="center"/>
    </xf>
    <xf numFmtId="0" fontId="54" fillId="0" borderId="0" xfId="6" applyFont="1" applyAlignment="1">
      <alignment vertical="center"/>
    </xf>
    <xf numFmtId="0" fontId="56" fillId="0" borderId="4" xfId="6" applyFont="1" applyBorder="1" applyAlignment="1">
      <alignment vertical="center"/>
    </xf>
    <xf numFmtId="0" fontId="55" fillId="0" borderId="4" xfId="6" applyFont="1" applyBorder="1" applyAlignment="1">
      <alignment horizontal="center" vertical="center"/>
    </xf>
    <xf numFmtId="0" fontId="55" fillId="0" borderId="17" xfId="6" applyFont="1" applyBorder="1" applyAlignment="1">
      <alignment horizontal="center" vertical="center"/>
    </xf>
    <xf numFmtId="0" fontId="55" fillId="0" borderId="17" xfId="6" applyFont="1" applyBorder="1" applyAlignment="1">
      <alignment vertical="center"/>
    </xf>
    <xf numFmtId="0" fontId="55" fillId="0" borderId="19" xfId="6" applyFont="1" applyBorder="1" applyAlignment="1">
      <alignment vertical="center"/>
    </xf>
    <xf numFmtId="14" fontId="55" fillId="0" borderId="36" xfId="6" applyNumberFormat="1" applyFont="1" applyBorder="1" applyAlignment="1">
      <alignment vertical="center"/>
    </xf>
    <xf numFmtId="0" fontId="55" fillId="0" borderId="3" xfId="6" applyFont="1" applyBorder="1" applyAlignment="1">
      <alignment horizontal="center" vertical="center"/>
    </xf>
    <xf numFmtId="0" fontId="56" fillId="0" borderId="3" xfId="6" applyFont="1" applyBorder="1" applyAlignment="1">
      <alignment vertical="center"/>
    </xf>
    <xf numFmtId="14" fontId="55" fillId="0" borderId="16" xfId="6" applyNumberFormat="1" applyFont="1" applyBorder="1" applyAlignment="1">
      <alignment vertical="center"/>
    </xf>
    <xf numFmtId="0" fontId="54" fillId="0" borderId="18" xfId="6" applyFont="1" applyBorder="1" applyAlignment="1">
      <alignment vertical="center"/>
    </xf>
    <xf numFmtId="0" fontId="22" fillId="0" borderId="9" xfId="0" applyNumberFormat="1" applyFont="1" applyBorder="1" applyAlignment="1">
      <alignment horizontal="center" vertical="center" wrapText="1"/>
    </xf>
    <xf numFmtId="0" fontId="14" fillId="0" borderId="9" xfId="0" applyFont="1" applyBorder="1" applyAlignment="1">
      <alignment horizontal="center" wrapText="1"/>
    </xf>
    <xf numFmtId="0" fontId="57" fillId="0" borderId="0" xfId="0" applyFont="1" applyAlignment="1">
      <alignment horizontal="center" vertical="center"/>
    </xf>
    <xf numFmtId="0" fontId="57" fillId="0" borderId="0" xfId="0" applyFont="1" applyAlignment="1">
      <alignment vertical="center"/>
    </xf>
    <xf numFmtId="0" fontId="57" fillId="0" borderId="0" xfId="0" applyFont="1" applyFill="1" applyBorder="1" applyAlignment="1">
      <alignment horizontal="center" vertical="center"/>
    </xf>
    <xf numFmtId="0" fontId="58" fillId="0" borderId="0" xfId="0" applyFont="1" applyAlignment="1">
      <alignment vertical="center"/>
    </xf>
    <xf numFmtId="0" fontId="58" fillId="0" borderId="0" xfId="0" applyFont="1" applyAlignment="1">
      <alignment horizontal="center" vertical="center"/>
    </xf>
    <xf numFmtId="0" fontId="59" fillId="0" borderId="0" xfId="0" applyFont="1" applyAlignment="1">
      <alignment vertical="center"/>
    </xf>
    <xf numFmtId="0" fontId="14" fillId="0" borderId="28" xfId="0" quotePrefix="1" applyFont="1" applyBorder="1" applyAlignment="1">
      <alignment horizontal="center" vertical="center"/>
    </xf>
    <xf numFmtId="0" fontId="58" fillId="0" borderId="0" xfId="0" applyFont="1" applyAlignment="1">
      <alignment horizontal="center" vertical="center"/>
    </xf>
    <xf numFmtId="167" fontId="30" fillId="2" borderId="3" xfId="0" applyNumberFormat="1" applyFont="1" applyFill="1" applyBorder="1" applyAlignment="1">
      <alignment horizontal="right" vertical="center" wrapText="1"/>
    </xf>
    <xf numFmtId="4" fontId="14" fillId="0" borderId="6" xfId="0" applyNumberFormat="1"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20" fillId="0" borderId="10" xfId="0" applyFont="1" applyBorder="1" applyAlignment="1">
      <alignment horizontal="left"/>
    </xf>
    <xf numFmtId="3" fontId="0" fillId="0" borderId="11" xfId="0" applyNumberFormat="1" applyBorder="1" applyAlignment="1">
      <alignment horizontal="center" vertical="center"/>
    </xf>
    <xf numFmtId="0" fontId="30" fillId="3" borderId="3" xfId="0" applyFont="1" applyFill="1" applyBorder="1" applyAlignment="1">
      <alignment horizontal="center" vertical="center" wrapText="1"/>
    </xf>
    <xf numFmtId="0" fontId="0" fillId="3" borderId="0" xfId="0" applyFill="1" applyAlignment="1">
      <alignment vertical="center"/>
    </xf>
    <xf numFmtId="164" fontId="6" fillId="3" borderId="3" xfId="0" applyNumberFormat="1" applyFont="1" applyFill="1" applyBorder="1" applyAlignment="1">
      <alignment vertical="center" wrapText="1"/>
    </xf>
    <xf numFmtId="1" fontId="22" fillId="3" borderId="3" xfId="0" applyNumberFormat="1" applyFont="1" applyFill="1" applyBorder="1" applyAlignment="1">
      <alignment horizontal="center" vertical="center" wrapText="1"/>
    </xf>
    <xf numFmtId="164" fontId="11" fillId="3" borderId="3" xfId="0" applyNumberFormat="1" applyFont="1" applyFill="1" applyBorder="1" applyAlignment="1">
      <alignment horizontal="left" vertical="center" wrapText="1"/>
    </xf>
    <xf numFmtId="167" fontId="14" fillId="3" borderId="3" xfId="0" applyNumberFormat="1" applyFont="1" applyFill="1" applyBorder="1" applyAlignment="1">
      <alignment horizontal="center" vertical="center" wrapText="1"/>
    </xf>
    <xf numFmtId="0" fontId="20" fillId="3" borderId="3" xfId="0" applyFont="1" applyFill="1" applyBorder="1" applyAlignment="1">
      <alignment horizontal="center" vertical="center" wrapText="1"/>
    </xf>
    <xf numFmtId="164" fontId="20" fillId="3" borderId="3" xfId="0" applyNumberFormat="1" applyFont="1" applyFill="1" applyBorder="1" applyAlignment="1">
      <alignment horizontal="center" vertical="center" wrapText="1"/>
    </xf>
    <xf numFmtId="167" fontId="20" fillId="3" borderId="3" xfId="0" applyNumberFormat="1" applyFont="1" applyFill="1" applyBorder="1" applyAlignment="1">
      <alignment horizontal="center" vertical="center" wrapText="1"/>
    </xf>
    <xf numFmtId="0" fontId="49" fillId="3" borderId="0" xfId="0" applyFont="1" applyFill="1" applyAlignment="1">
      <alignment horizontal="center" vertical="center"/>
    </xf>
    <xf numFmtId="49" fontId="40" fillId="3" borderId="3" xfId="0" applyNumberFormat="1" applyFont="1" applyFill="1" applyBorder="1" applyAlignment="1">
      <alignment vertical="center"/>
    </xf>
    <xf numFmtId="4" fontId="35" fillId="3" borderId="3" xfId="0" applyNumberFormat="1" applyFont="1" applyFill="1" applyBorder="1" applyAlignment="1">
      <alignment vertical="center" wrapText="1"/>
    </xf>
    <xf numFmtId="167" fontId="12" fillId="3" borderId="3" xfId="2" applyNumberFormat="1" applyFont="1" applyFill="1" applyBorder="1" applyAlignment="1" applyProtection="1">
      <alignment horizontal="right" vertical="center"/>
      <protection locked="0"/>
    </xf>
    <xf numFmtId="167" fontId="0" fillId="3" borderId="0" xfId="0" applyNumberFormat="1" applyFill="1" applyAlignment="1">
      <alignment vertical="center"/>
    </xf>
    <xf numFmtId="167" fontId="50" fillId="3" borderId="0" xfId="0" applyNumberFormat="1" applyFont="1" applyFill="1" applyAlignment="1">
      <alignment vertical="center"/>
    </xf>
    <xf numFmtId="0" fontId="38" fillId="3" borderId="0" xfId="0" applyFont="1" applyFill="1" applyAlignment="1">
      <alignment vertical="center"/>
    </xf>
    <xf numFmtId="0" fontId="26" fillId="3" borderId="0" xfId="0" applyFont="1" applyFill="1" applyAlignment="1">
      <alignment vertical="center"/>
    </xf>
    <xf numFmtId="164" fontId="26" fillId="3" borderId="0" xfId="0" applyNumberFormat="1" applyFont="1" applyFill="1" applyAlignment="1">
      <alignment vertical="center"/>
    </xf>
    <xf numFmtId="167" fontId="26" fillId="3" borderId="0" xfId="0" applyNumberFormat="1" applyFont="1" applyFill="1" applyAlignment="1">
      <alignment vertical="center"/>
    </xf>
    <xf numFmtId="0" fontId="49" fillId="3" borderId="0" xfId="0" applyFont="1" applyFill="1" applyAlignment="1">
      <alignment horizontal="right" vertical="center"/>
    </xf>
    <xf numFmtId="164" fontId="0" fillId="3" borderId="0" xfId="0" applyNumberFormat="1" applyFill="1" applyAlignment="1">
      <alignment vertical="center"/>
    </xf>
    <xf numFmtId="0" fontId="14" fillId="0" borderId="3" xfId="0" applyFont="1" applyBorder="1" applyAlignment="1">
      <alignment vertical="center"/>
    </xf>
    <xf numFmtId="173" fontId="14" fillId="0" borderId="3" xfId="0" applyNumberFormat="1" applyFont="1" applyBorder="1" applyAlignment="1">
      <alignment vertical="center"/>
    </xf>
    <xf numFmtId="0" fontId="4" fillId="0" borderId="3" xfId="0" applyFont="1" applyBorder="1" applyAlignment="1">
      <alignment horizontal="center" vertical="center"/>
    </xf>
    <xf numFmtId="0" fontId="17" fillId="0" borderId="54" xfId="0" quotePrefix="1" applyFont="1" applyBorder="1" applyAlignment="1">
      <alignment horizontal="center" vertical="center" wrapText="1"/>
    </xf>
    <xf numFmtId="0" fontId="17" fillId="0" borderId="45" xfId="0" applyFont="1" applyBorder="1" applyAlignment="1">
      <alignment horizontal="center" vertical="center" wrapText="1"/>
    </xf>
    <xf numFmtId="0" fontId="17" fillId="0" borderId="45" xfId="0" quotePrefix="1" applyFont="1" applyBorder="1" applyAlignment="1">
      <alignment horizontal="center" vertical="center" wrapText="1"/>
    </xf>
    <xf numFmtId="3" fontId="17" fillId="0" borderId="45" xfId="0" applyNumberFormat="1" applyFont="1" applyBorder="1" applyAlignment="1">
      <alignment horizontal="center" vertical="center" wrapText="1"/>
    </xf>
    <xf numFmtId="2" fontId="17" fillId="0" borderId="45" xfId="0" applyNumberFormat="1" applyFont="1" applyBorder="1" applyAlignment="1">
      <alignment horizontal="center" vertical="center" wrapText="1"/>
    </xf>
    <xf numFmtId="0" fontId="17" fillId="0" borderId="45"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173" fontId="7" fillId="0" borderId="3" xfId="0" applyNumberFormat="1" applyFont="1" applyBorder="1" applyAlignment="1">
      <alignment horizontal="right" vertical="center"/>
    </xf>
    <xf numFmtId="0" fontId="20" fillId="0" borderId="26" xfId="0" applyFont="1" applyBorder="1" applyAlignment="1">
      <alignment horizontal="center" vertical="center"/>
    </xf>
    <xf numFmtId="164" fontId="29" fillId="0" borderId="24" xfId="0" applyNumberFormat="1" applyFont="1" applyBorder="1" applyAlignment="1">
      <alignment horizontal="right" vertical="center"/>
    </xf>
    <xf numFmtId="0" fontId="20" fillId="0" borderId="24" xfId="2" applyFont="1" applyBorder="1" applyAlignment="1" applyProtection="1">
      <alignment horizontal="justify" vertical="center" wrapText="1"/>
    </xf>
    <xf numFmtId="173" fontId="7" fillId="0" borderId="24" xfId="0" applyNumberFormat="1" applyFont="1" applyBorder="1" applyAlignment="1">
      <alignment vertical="center"/>
    </xf>
    <xf numFmtId="168" fontId="30" fillId="2" borderId="24" xfId="0" applyNumberFormat="1" applyFont="1" applyFill="1" applyBorder="1" applyAlignment="1">
      <alignment horizontal="center" vertical="center" wrapText="1"/>
    </xf>
    <xf numFmtId="173" fontId="7" fillId="0" borderId="24" xfId="0" applyNumberFormat="1" applyFont="1" applyBorder="1" applyAlignment="1">
      <alignment horizontal="right" vertical="center"/>
    </xf>
    <xf numFmtId="173" fontId="7" fillId="0" borderId="27" xfId="0" applyNumberFormat="1" applyFont="1" applyBorder="1" applyAlignment="1">
      <alignment vertical="center"/>
    </xf>
    <xf numFmtId="0" fontId="4" fillId="0" borderId="0" xfId="4" applyFont="1" applyAlignment="1">
      <alignment horizontal="left" vertical="center"/>
    </xf>
    <xf numFmtId="167" fontId="30" fillId="0" borderId="18" xfId="0" applyNumberFormat="1" applyFont="1" applyFill="1" applyBorder="1" applyAlignment="1">
      <alignment horizontal="right" vertical="center" wrapText="1"/>
    </xf>
    <xf numFmtId="167" fontId="7" fillId="0" borderId="2" xfId="0" applyNumberFormat="1" applyFont="1" applyBorder="1" applyAlignment="1">
      <alignment horizontal="right" vertical="center"/>
    </xf>
    <xf numFmtId="167" fontId="7" fillId="0" borderId="0" xfId="0" applyNumberFormat="1" applyFont="1" applyBorder="1" applyAlignment="1">
      <alignment horizontal="right" vertical="center"/>
    </xf>
    <xf numFmtId="167" fontId="6" fillId="0" borderId="1" xfId="0" applyNumberFormat="1" applyFont="1" applyBorder="1" applyAlignment="1">
      <alignment vertical="center"/>
    </xf>
    <xf numFmtId="167" fontId="6" fillId="0" borderId="6" xfId="0" applyNumberFormat="1" applyFont="1" applyBorder="1" applyAlignment="1">
      <alignment vertical="center"/>
    </xf>
    <xf numFmtId="167" fontId="6" fillId="0" borderId="3" xfId="0" applyNumberFormat="1" applyFont="1" applyBorder="1" applyAlignment="1">
      <alignment horizontal="right" vertical="center"/>
    </xf>
    <xf numFmtId="167" fontId="61" fillId="2" borderId="3" xfId="0" applyNumberFormat="1" applyFont="1" applyFill="1" applyBorder="1" applyAlignment="1">
      <alignment horizontal="right" vertical="center" wrapText="1"/>
    </xf>
    <xf numFmtId="164" fontId="6" fillId="3" borderId="3" xfId="0" applyNumberFormat="1" applyFont="1" applyFill="1" applyBorder="1" applyAlignment="1">
      <alignment horizontal="right" vertical="center"/>
    </xf>
    <xf numFmtId="167" fontId="61" fillId="3" borderId="3" xfId="0" applyNumberFormat="1" applyFont="1" applyFill="1" applyBorder="1" applyAlignment="1">
      <alignment horizontal="right" vertical="center" wrapText="1"/>
    </xf>
    <xf numFmtId="176" fontId="30" fillId="2" borderId="24" xfId="0" applyNumberFormat="1" applyFont="1" applyFill="1" applyBorder="1" applyAlignment="1">
      <alignment horizontal="center" vertical="center" wrapText="1"/>
    </xf>
    <xf numFmtId="176" fontId="30" fillId="2" borderId="3" xfId="0" applyNumberFormat="1" applyFont="1" applyFill="1" applyBorder="1" applyAlignment="1">
      <alignment horizontal="center" vertical="center" wrapText="1"/>
    </xf>
    <xf numFmtId="176" fontId="30" fillId="0" borderId="3" xfId="0" applyNumberFormat="1" applyFont="1" applyFill="1" applyBorder="1" applyAlignment="1">
      <alignment horizontal="center" vertical="center" wrapText="1"/>
    </xf>
    <xf numFmtId="0" fontId="20" fillId="0" borderId="0" xfId="0" applyFont="1" applyBorder="1" applyAlignment="1">
      <alignment horizontal="center"/>
    </xf>
    <xf numFmtId="0" fontId="20" fillId="0" borderId="11" xfId="0" applyFont="1" applyBorder="1" applyAlignment="1">
      <alignment horizontal="center"/>
    </xf>
    <xf numFmtId="0" fontId="4" fillId="0" borderId="0" xfId="0" applyFont="1" applyBorder="1" applyAlignment="1">
      <alignment horizontal="center"/>
    </xf>
    <xf numFmtId="0" fontId="23" fillId="0" borderId="3" xfId="0" applyFont="1" applyBorder="1" applyAlignment="1">
      <alignment vertical="center"/>
    </xf>
    <xf numFmtId="0" fontId="20" fillId="0" borderId="0" xfId="0" applyFont="1" applyBorder="1" applyAlignment="1">
      <alignment horizontal="center"/>
    </xf>
    <xf numFmtId="0" fontId="20" fillId="0" borderId="10" xfId="0" applyFont="1" applyBorder="1" applyAlignment="1">
      <alignment horizontal="left"/>
    </xf>
    <xf numFmtId="0" fontId="20" fillId="0" borderId="0" xfId="0" applyFont="1" applyBorder="1" applyAlignment="1">
      <alignment horizontal="left"/>
    </xf>
    <xf numFmtId="0" fontId="4" fillId="0" borderId="0" xfId="4" applyFont="1" applyAlignment="1">
      <alignment horizontal="left" vertical="center"/>
    </xf>
    <xf numFmtId="0" fontId="4" fillId="0" borderId="0" xfId="4" applyFont="1" applyAlignment="1">
      <alignment horizontal="center" vertical="top" wrapText="1"/>
    </xf>
    <xf numFmtId="0" fontId="62" fillId="0" borderId="0" xfId="0" applyFont="1" applyBorder="1" applyAlignment="1">
      <alignment horizontal="center"/>
    </xf>
    <xf numFmtId="0" fontId="62" fillId="0" borderId="11" xfId="0" applyFont="1" applyBorder="1" applyAlignment="1">
      <alignment horizontal="center"/>
    </xf>
    <xf numFmtId="0" fontId="26" fillId="0" borderId="0" xfId="0" applyFont="1" applyAlignment="1">
      <alignment horizontal="left"/>
    </xf>
    <xf numFmtId="0" fontId="20" fillId="0" borderId="2" xfId="0" applyFont="1" applyBorder="1" applyAlignment="1">
      <alignment horizontal="left" vertical="center" wrapText="1"/>
    </xf>
    <xf numFmtId="0" fontId="0" fillId="0" borderId="0" xfId="0" applyAlignment="1">
      <alignment horizontal="left"/>
    </xf>
    <xf numFmtId="0" fontId="20" fillId="0" borderId="26" xfId="0" applyFont="1" applyBorder="1" applyAlignment="1">
      <alignment horizontal="center" vertical="center" wrapText="1"/>
    </xf>
    <xf numFmtId="0" fontId="20" fillId="0" borderId="24" xfId="0" applyFont="1" applyBorder="1" applyAlignment="1">
      <alignment horizontal="left" vertical="center" wrapText="1"/>
    </xf>
    <xf numFmtId="0" fontId="20" fillId="0" borderId="24" xfId="0" applyFont="1" applyBorder="1" applyAlignment="1">
      <alignment horizontal="center" vertical="center" wrapText="1"/>
    </xf>
    <xf numFmtId="0" fontId="20" fillId="0" borderId="27" xfId="0" applyFont="1" applyBorder="1" applyAlignment="1">
      <alignment vertical="center" wrapText="1"/>
    </xf>
    <xf numFmtId="0" fontId="30" fillId="2" borderId="36" xfId="0" applyFont="1" applyFill="1" applyBorder="1" applyAlignment="1">
      <alignment horizontal="center" vertical="center" wrapText="1"/>
    </xf>
    <xf numFmtId="0" fontId="8" fillId="0" borderId="3" xfId="0" applyFont="1" applyBorder="1" applyAlignment="1">
      <alignment horizontal="left" vertical="center" wrapText="1"/>
    </xf>
    <xf numFmtId="3" fontId="8" fillId="0" borderId="3" xfId="0" applyNumberFormat="1" applyFont="1" applyBorder="1" applyAlignment="1">
      <alignment horizontal="left" vertical="center" wrapText="1"/>
    </xf>
    <xf numFmtId="4" fontId="35" fillId="0" borderId="3" xfId="0" applyNumberFormat="1" applyFont="1" applyFill="1" applyBorder="1" applyAlignment="1">
      <alignment horizontal="left" vertical="center" wrapText="1"/>
    </xf>
    <xf numFmtId="0" fontId="28" fillId="0" borderId="17" xfId="0" applyFont="1" applyBorder="1" applyAlignment="1">
      <alignment horizontal="left" vertical="center" wrapText="1"/>
    </xf>
    <xf numFmtId="0" fontId="28" fillId="0" borderId="17" xfId="0" applyFont="1" applyBorder="1" applyAlignment="1">
      <alignment horizontal="left" vertical="center"/>
    </xf>
    <xf numFmtId="167" fontId="0" fillId="0" borderId="0" xfId="0" applyNumberFormat="1" applyAlignment="1">
      <alignment horizontal="center" vertical="center"/>
    </xf>
    <xf numFmtId="167" fontId="44" fillId="0" borderId="0" xfId="0" applyNumberFormat="1" applyFont="1" applyAlignment="1">
      <alignment horizontal="center" vertical="center"/>
    </xf>
    <xf numFmtId="49" fontId="34" fillId="0" borderId="49" xfId="0" applyNumberFormat="1" applyFont="1" applyBorder="1" applyAlignment="1">
      <alignment horizontal="left" vertical="center"/>
    </xf>
    <xf numFmtId="4" fontId="35" fillId="0" borderId="25" xfId="0" applyNumberFormat="1" applyFont="1" applyFill="1" applyBorder="1" applyAlignment="1">
      <alignment horizontal="left" vertical="center" wrapText="1" indent="1"/>
    </xf>
    <xf numFmtId="0" fontId="28" fillId="0" borderId="3" xfId="0" applyFont="1" applyBorder="1" applyAlignment="1">
      <alignment horizontal="left" vertical="center"/>
    </xf>
    <xf numFmtId="0" fontId="28" fillId="0" borderId="3" xfId="0" applyFont="1" applyBorder="1" applyAlignment="1">
      <alignment horizontal="left" vertical="center" wrapText="1"/>
    </xf>
    <xf numFmtId="167" fontId="12" fillId="0" borderId="2" xfId="2" applyNumberFormat="1" applyFont="1" applyBorder="1" applyAlignment="1" applyProtection="1">
      <alignment horizontal="right" vertical="center"/>
      <protection locked="0"/>
    </xf>
    <xf numFmtId="49" fontId="40" fillId="0" borderId="2" xfId="0" applyNumberFormat="1" applyFont="1" applyBorder="1" applyAlignment="1">
      <alignment horizontal="left" vertical="center"/>
    </xf>
    <xf numFmtId="164" fontId="20" fillId="0" borderId="2" xfId="0" applyNumberFormat="1" applyFont="1" applyBorder="1" applyAlignment="1">
      <alignment horizontal="center" vertical="center" wrapText="1"/>
    </xf>
    <xf numFmtId="164" fontId="6" fillId="0" borderId="35" xfId="0" applyNumberFormat="1" applyFont="1" applyBorder="1" applyAlignment="1">
      <alignment vertical="center" wrapText="1"/>
    </xf>
    <xf numFmtId="0" fontId="22" fillId="0" borderId="58" xfId="0" applyNumberFormat="1" applyFont="1" applyBorder="1" applyAlignment="1">
      <alignment horizontal="center" vertical="center" wrapText="1"/>
    </xf>
    <xf numFmtId="164" fontId="6" fillId="0" borderId="39" xfId="0" applyNumberFormat="1" applyFont="1" applyBorder="1" applyAlignment="1">
      <alignment horizontal="left" vertical="center" wrapText="1"/>
    </xf>
    <xf numFmtId="0" fontId="14" fillId="0" borderId="9" xfId="0" applyFont="1" applyBorder="1" applyAlignment="1">
      <alignment horizontal="center" vertical="center" wrapText="1"/>
    </xf>
    <xf numFmtId="167" fontId="50" fillId="0" borderId="0" xfId="0" applyNumberFormat="1" applyFont="1" applyAlignment="1">
      <alignment horizontal="center" vertical="center"/>
    </xf>
    <xf numFmtId="164" fontId="20" fillId="0" borderId="24" xfId="0" applyNumberFormat="1" applyFont="1" applyBorder="1" applyAlignment="1">
      <alignment horizontal="center" vertical="center" wrapText="1"/>
    </xf>
    <xf numFmtId="0" fontId="20" fillId="0" borderId="27" xfId="0" applyFont="1" applyBorder="1" applyAlignment="1">
      <alignment horizontal="center" vertical="center" wrapText="1"/>
    </xf>
    <xf numFmtId="167" fontId="12" fillId="0" borderId="5" xfId="2" applyNumberFormat="1" applyFont="1" applyBorder="1" applyAlignment="1" applyProtection="1">
      <alignment horizontal="right" vertical="center"/>
      <protection locked="0"/>
    </xf>
    <xf numFmtId="167" fontId="6" fillId="0" borderId="1" xfId="0" applyNumberFormat="1" applyFont="1" applyBorder="1" applyAlignment="1">
      <alignment horizontal="right" vertical="center"/>
    </xf>
    <xf numFmtId="167" fontId="61" fillId="2" borderId="1" xfId="0" applyNumberFormat="1" applyFont="1" applyFill="1" applyBorder="1" applyAlignment="1">
      <alignment horizontal="right" vertical="center" wrapText="1"/>
    </xf>
    <xf numFmtId="167" fontId="61" fillId="2" borderId="6" xfId="0" applyNumberFormat="1" applyFont="1" applyFill="1" applyBorder="1" applyAlignment="1">
      <alignment horizontal="right" vertical="center" wrapText="1"/>
    </xf>
    <xf numFmtId="0" fontId="20" fillId="3" borderId="26" xfId="0" applyFont="1" applyFill="1" applyBorder="1" applyAlignment="1">
      <alignment horizontal="center" vertical="center" wrapText="1"/>
    </xf>
    <xf numFmtId="0" fontId="20" fillId="3" borderId="24" xfId="0" applyFont="1" applyFill="1" applyBorder="1" applyAlignment="1">
      <alignment horizontal="center" vertical="center" wrapText="1"/>
    </xf>
    <xf numFmtId="164" fontId="20" fillId="3" borderId="24" xfId="0" applyNumberFormat="1" applyFont="1" applyFill="1" applyBorder="1" applyAlignment="1">
      <alignment horizontal="center" vertical="center" wrapText="1"/>
    </xf>
    <xf numFmtId="167" fontId="20" fillId="3" borderId="27" xfId="0" applyNumberFormat="1" applyFont="1" applyFill="1" applyBorder="1" applyAlignment="1">
      <alignment horizontal="center" vertical="center" wrapText="1"/>
    </xf>
    <xf numFmtId="0" fontId="30" fillId="3" borderId="4" xfId="0" applyFont="1" applyFill="1" applyBorder="1" applyAlignment="1">
      <alignment horizontal="center" vertical="center" wrapText="1"/>
    </xf>
    <xf numFmtId="167" fontId="12" fillId="3" borderId="5" xfId="2" applyNumberFormat="1" applyFont="1" applyFill="1" applyBorder="1" applyAlignment="1" applyProtection="1">
      <alignment horizontal="right" vertical="center"/>
      <protection locked="0"/>
    </xf>
    <xf numFmtId="164" fontId="6" fillId="3" borderId="1" xfId="0" applyNumberFormat="1" applyFont="1" applyFill="1" applyBorder="1" applyAlignment="1">
      <alignment horizontal="right" vertical="center"/>
    </xf>
    <xf numFmtId="167" fontId="61" fillId="3" borderId="6" xfId="0" applyNumberFormat="1" applyFont="1" applyFill="1" applyBorder="1" applyAlignment="1">
      <alignment horizontal="right" vertical="center" wrapText="1"/>
    </xf>
    <xf numFmtId="0" fontId="30" fillId="3" borderId="36" xfId="0" applyFont="1" applyFill="1" applyBorder="1" applyAlignment="1">
      <alignment horizontal="center" vertical="center" wrapText="1"/>
    </xf>
    <xf numFmtId="49" fontId="40" fillId="3" borderId="2" xfId="0" applyNumberFormat="1" applyFont="1" applyFill="1" applyBorder="1" applyAlignment="1">
      <alignment vertical="center"/>
    </xf>
    <xf numFmtId="4" fontId="35" fillId="3" borderId="2" xfId="0" applyNumberFormat="1" applyFont="1" applyFill="1" applyBorder="1" applyAlignment="1">
      <alignment vertical="center" wrapText="1"/>
    </xf>
    <xf numFmtId="164" fontId="6" fillId="3" borderId="45" xfId="0" applyNumberFormat="1" applyFont="1" applyFill="1" applyBorder="1" applyAlignment="1">
      <alignment vertical="center" wrapText="1"/>
    </xf>
    <xf numFmtId="1" fontId="22" fillId="3" borderId="50" xfId="0" applyNumberFormat="1" applyFont="1" applyFill="1" applyBorder="1" applyAlignment="1">
      <alignment horizontal="center" vertical="center" wrapText="1"/>
    </xf>
    <xf numFmtId="164" fontId="11" fillId="3" borderId="39" xfId="0" applyNumberFormat="1" applyFont="1" applyFill="1" applyBorder="1" applyAlignment="1">
      <alignment horizontal="left" vertical="center" wrapText="1"/>
    </xf>
    <xf numFmtId="167" fontId="14" fillId="3" borderId="9" xfId="0" applyNumberFormat="1" applyFont="1" applyFill="1" applyBorder="1" applyAlignment="1">
      <alignment horizontal="center" vertical="center" wrapText="1"/>
    </xf>
    <xf numFmtId="164" fontId="11" fillId="0" borderId="46" xfId="0" applyNumberFormat="1" applyFont="1" applyBorder="1" applyAlignment="1">
      <alignment horizontal="left" vertical="center" wrapText="1"/>
    </xf>
    <xf numFmtId="0" fontId="14" fillId="0" borderId="51" xfId="0" applyFont="1" applyBorder="1" applyAlignment="1">
      <alignment horizontal="center" vertical="center" wrapText="1"/>
    </xf>
    <xf numFmtId="164" fontId="6" fillId="0" borderId="39" xfId="0" applyNumberFormat="1" applyFont="1" applyBorder="1" applyAlignment="1">
      <alignment vertical="center" wrapText="1"/>
    </xf>
    <xf numFmtId="0" fontId="30" fillId="3" borderId="16" xfId="0" applyFont="1" applyFill="1" applyBorder="1" applyAlignment="1">
      <alignment horizontal="center" vertical="center" wrapText="1"/>
    </xf>
    <xf numFmtId="167" fontId="12" fillId="0" borderId="18" xfId="2" applyNumberFormat="1" applyFont="1" applyBorder="1" applyAlignment="1" applyProtection="1">
      <alignment horizontal="right" vertical="center"/>
      <protection locked="0"/>
    </xf>
    <xf numFmtId="49" fontId="40" fillId="0" borderId="3" xfId="0" applyNumberFormat="1" applyFont="1" applyBorder="1" applyAlignment="1">
      <alignment horizontal="left" vertical="center"/>
    </xf>
    <xf numFmtId="0" fontId="12" fillId="0" borderId="24" xfId="0" applyFont="1" applyBorder="1" applyAlignment="1">
      <alignment vertical="center"/>
    </xf>
    <xf numFmtId="0" fontId="12" fillId="0" borderId="27" xfId="0" applyFont="1" applyBorder="1" applyAlignment="1">
      <alignment horizontal="center" vertical="center"/>
    </xf>
    <xf numFmtId="3" fontId="12" fillId="0" borderId="1" xfId="0" applyNumberFormat="1" applyFont="1" applyBorder="1" applyAlignment="1">
      <alignment vertical="center" wrapText="1"/>
    </xf>
    <xf numFmtId="3" fontId="12" fillId="0" borderId="6" xfId="0" applyNumberFormat="1" applyFont="1" applyBorder="1" applyAlignment="1">
      <alignment horizontal="center" vertical="center"/>
    </xf>
    <xf numFmtId="167" fontId="14" fillId="0" borderId="40" xfId="0" applyNumberFormat="1" applyFont="1" applyBorder="1" applyAlignment="1">
      <alignment horizontal="center" vertical="center"/>
    </xf>
    <xf numFmtId="167" fontId="14" fillId="0" borderId="39" xfId="0" applyNumberFormat="1" applyFont="1" applyBorder="1" applyAlignment="1">
      <alignment horizontal="center" vertical="center"/>
    </xf>
    <xf numFmtId="167" fontId="7" fillId="0" borderId="24" xfId="0" applyNumberFormat="1" applyFont="1" applyFill="1" applyBorder="1" applyAlignment="1">
      <alignment horizontal="right" vertical="center"/>
    </xf>
    <xf numFmtId="167" fontId="7" fillId="0" borderId="3" xfId="0" applyNumberFormat="1" applyFont="1" applyFill="1" applyBorder="1" applyAlignment="1">
      <alignment horizontal="right" vertical="center"/>
    </xf>
    <xf numFmtId="173" fontId="7" fillId="0" borderId="45" xfId="0" applyNumberFormat="1" applyFont="1" applyBorder="1" applyAlignment="1">
      <alignment vertical="center"/>
    </xf>
    <xf numFmtId="173" fontId="7" fillId="0" borderId="2" xfId="0" applyNumberFormat="1" applyFont="1" applyBorder="1" applyAlignment="1">
      <alignment vertical="center"/>
    </xf>
    <xf numFmtId="167" fontId="12" fillId="3" borderId="18" xfId="2" applyNumberFormat="1" applyFont="1" applyFill="1" applyBorder="1" applyAlignment="1" applyProtection="1">
      <alignment horizontal="right" vertical="center"/>
      <protection locked="0"/>
    </xf>
    <xf numFmtId="49" fontId="8" fillId="0" borderId="3" xfId="0" applyNumberFormat="1" applyFont="1" applyBorder="1" applyAlignment="1">
      <alignment horizontal="left" vertical="center" wrapText="1"/>
    </xf>
    <xf numFmtId="2" fontId="0" fillId="0" borderId="0" xfId="0" applyNumberFormat="1" applyAlignment="1">
      <alignment vertical="center"/>
    </xf>
    <xf numFmtId="177" fontId="14" fillId="0" borderId="41" xfId="0" quotePrefix="1" applyNumberFormat="1" applyFont="1" applyBorder="1" applyAlignment="1">
      <alignment vertical="center"/>
    </xf>
    <xf numFmtId="14" fontId="20" fillId="0" borderId="0" xfId="0" quotePrefix="1" applyNumberFormat="1" applyFont="1" applyBorder="1" applyAlignment="1">
      <alignment horizontal="left"/>
    </xf>
    <xf numFmtId="14" fontId="0" fillId="0" borderId="0" xfId="0" applyNumberFormat="1"/>
    <xf numFmtId="3" fontId="17" fillId="0" borderId="0" xfId="0" applyNumberFormat="1" applyFont="1" applyAlignment="1">
      <alignment horizontal="left"/>
    </xf>
    <xf numFmtId="0" fontId="17" fillId="0" borderId="0" xfId="0" applyFont="1"/>
    <xf numFmtId="4" fontId="45" fillId="0" borderId="0" xfId="0" applyNumberFormat="1" applyFont="1" applyAlignment="1">
      <alignment horizontal="center" vertical="center"/>
    </xf>
    <xf numFmtId="3" fontId="45" fillId="0" borderId="0" xfId="0" applyNumberFormat="1" applyFont="1"/>
    <xf numFmtId="3" fontId="17" fillId="0" borderId="0" xfId="0" applyNumberFormat="1" applyFont="1" applyAlignment="1">
      <alignment horizontal="center"/>
    </xf>
    <xf numFmtId="0" fontId="45" fillId="0" borderId="0" xfId="0" applyFont="1" applyAlignment="1">
      <alignment horizontal="center" vertical="center"/>
    </xf>
    <xf numFmtId="0" fontId="45" fillId="0" borderId="0" xfId="0" applyFont="1" applyAlignment="1">
      <alignment vertical="center"/>
    </xf>
    <xf numFmtId="0" fontId="63" fillId="0" borderId="0" xfId="0" applyFont="1" applyAlignment="1">
      <alignment vertical="center"/>
    </xf>
    <xf numFmtId="4" fontId="4" fillId="0" borderId="0" xfId="0" applyNumberFormat="1" applyFont="1" applyBorder="1" applyAlignment="1"/>
    <xf numFmtId="4" fontId="4" fillId="0" borderId="11" xfId="0" applyNumberFormat="1" applyFont="1" applyBorder="1" applyAlignment="1"/>
    <xf numFmtId="0" fontId="4" fillId="0" borderId="11" xfId="0" applyFont="1" applyBorder="1" applyAlignment="1"/>
    <xf numFmtId="0" fontId="65" fillId="0" borderId="0" xfId="7" applyFont="1" applyAlignment="1">
      <alignment vertical="center"/>
    </xf>
    <xf numFmtId="175" fontId="65" fillId="0" borderId="0" xfId="7" applyNumberFormat="1" applyFont="1" applyFill="1" applyAlignment="1">
      <alignment vertical="center"/>
    </xf>
    <xf numFmtId="175" fontId="65" fillId="0" borderId="0" xfId="7" applyNumberFormat="1" applyFont="1" applyAlignment="1">
      <alignment vertical="center"/>
    </xf>
    <xf numFmtId="178" fontId="64" fillId="0" borderId="0" xfId="7" applyNumberFormat="1" applyFont="1" applyAlignment="1">
      <alignment horizontal="center" vertical="center"/>
    </xf>
    <xf numFmtId="4" fontId="17" fillId="0" borderId="0" xfId="7" applyNumberFormat="1" applyFont="1" applyAlignment="1">
      <alignment vertical="center"/>
    </xf>
    <xf numFmtId="167" fontId="65" fillId="0" borderId="0" xfId="7" applyNumberFormat="1" applyFont="1" applyAlignment="1">
      <alignment vertical="center"/>
    </xf>
    <xf numFmtId="175" fontId="64" fillId="0" borderId="0" xfId="7" applyNumberFormat="1" applyFont="1" applyAlignment="1">
      <alignment vertical="center"/>
    </xf>
    <xf numFmtId="14" fontId="65" fillId="0" borderId="0" xfId="7" applyNumberFormat="1" applyFont="1" applyAlignment="1">
      <alignment vertical="center"/>
    </xf>
    <xf numFmtId="0" fontId="64" fillId="0" borderId="0" xfId="7" applyFont="1" applyAlignment="1">
      <alignment horizontal="center" vertical="center"/>
    </xf>
    <xf numFmtId="0" fontId="64" fillId="0" borderId="0" xfId="7" applyFont="1" applyAlignment="1">
      <alignment vertical="center"/>
    </xf>
    <xf numFmtId="0" fontId="65" fillId="0" borderId="0" xfId="7" applyFont="1" applyAlignment="1">
      <alignment horizontal="center" vertical="center"/>
    </xf>
    <xf numFmtId="49" fontId="64" fillId="0" borderId="0" xfId="7" applyNumberFormat="1" applyFont="1" applyAlignment="1">
      <alignment horizontal="center" vertical="center"/>
    </xf>
    <xf numFmtId="175" fontId="64" fillId="0" borderId="0" xfId="7" applyNumberFormat="1" applyFont="1" applyFill="1" applyAlignment="1">
      <alignment vertical="center"/>
    </xf>
    <xf numFmtId="0" fontId="4" fillId="2" borderId="26" xfId="0" applyFont="1" applyFill="1" applyBorder="1" applyAlignment="1">
      <alignment horizontal="center" vertical="center"/>
    </xf>
    <xf numFmtId="0" fontId="4" fillId="2" borderId="4" xfId="0" applyFont="1" applyFill="1" applyBorder="1" applyAlignment="1">
      <alignment horizontal="center" vertical="center"/>
    </xf>
    <xf numFmtId="2" fontId="4" fillId="2" borderId="5" xfId="0" applyNumberFormat="1" applyFont="1" applyFill="1" applyBorder="1" applyAlignment="1">
      <alignment horizontal="right" vertical="center"/>
    </xf>
    <xf numFmtId="0" fontId="4" fillId="2" borderId="36" xfId="0" applyFont="1" applyFill="1" applyBorder="1" applyAlignment="1">
      <alignment horizontal="center" vertical="center"/>
    </xf>
    <xf numFmtId="4" fontId="4" fillId="4" borderId="17" xfId="0" applyNumberFormat="1" applyFont="1" applyFill="1" applyBorder="1" applyAlignment="1">
      <alignment horizontal="right" vertical="center"/>
    </xf>
    <xf numFmtId="4" fontId="4" fillId="2" borderId="17" xfId="0" applyNumberFormat="1" applyFont="1" applyFill="1" applyBorder="1" applyAlignment="1">
      <alignment horizontal="right" vertical="center"/>
    </xf>
    <xf numFmtId="4" fontId="4" fillId="2" borderId="18" xfId="0" applyNumberFormat="1" applyFont="1" applyFill="1" applyBorder="1" applyAlignment="1">
      <alignment horizontal="left" vertical="center"/>
    </xf>
    <xf numFmtId="166" fontId="4" fillId="0" borderId="19" xfId="0" applyNumberFormat="1" applyFont="1" applyFill="1" applyBorder="1" applyAlignment="1">
      <alignment horizontal="right" vertical="center"/>
    </xf>
    <xf numFmtId="175" fontId="4" fillId="2" borderId="5" xfId="0" applyNumberFormat="1" applyFont="1" applyFill="1" applyBorder="1" applyAlignment="1">
      <alignment horizontal="right" vertical="center"/>
    </xf>
    <xf numFmtId="0" fontId="4" fillId="2" borderId="65" xfId="0" applyFont="1" applyFill="1" applyBorder="1" applyAlignment="1">
      <alignment horizontal="center" vertical="center"/>
    </xf>
    <xf numFmtId="4" fontId="4" fillId="2" borderId="66" xfId="0" applyNumberFormat="1" applyFont="1" applyFill="1" applyBorder="1" applyAlignment="1">
      <alignment horizontal="right" vertical="center"/>
    </xf>
    <xf numFmtId="0" fontId="4" fillId="2" borderId="8" xfId="0" applyFont="1" applyFill="1" applyBorder="1" applyAlignment="1">
      <alignment horizontal="center" vertical="center"/>
    </xf>
    <xf numFmtId="175" fontId="4" fillId="2" borderId="6" xfId="0" applyNumberFormat="1" applyFont="1" applyFill="1" applyBorder="1" applyAlignment="1">
      <alignment horizontal="right" vertical="center"/>
    </xf>
    <xf numFmtId="175" fontId="66" fillId="2" borderId="11" xfId="0" applyNumberFormat="1" applyFont="1" applyFill="1" applyBorder="1" applyAlignment="1">
      <alignment horizontal="right" vertical="center"/>
    </xf>
    <xf numFmtId="0" fontId="6" fillId="2" borderId="63" xfId="0" applyFont="1" applyFill="1" applyBorder="1" applyAlignment="1">
      <alignment horizontal="center" vertical="center"/>
    </xf>
    <xf numFmtId="0" fontId="66" fillId="2" borderId="10" xfId="0" applyFont="1" applyFill="1" applyBorder="1" applyAlignment="1">
      <alignment horizontal="center" vertical="center"/>
    </xf>
    <xf numFmtId="0" fontId="58" fillId="0" borderId="0" xfId="0" applyFont="1" applyAlignment="1">
      <alignment horizontal="right" vertical="center" wrapText="1"/>
    </xf>
    <xf numFmtId="0" fontId="58" fillId="0" borderId="0" xfId="0" applyFont="1" applyAlignment="1">
      <alignment horizontal="right" vertical="center"/>
    </xf>
    <xf numFmtId="0" fontId="58" fillId="0" borderId="0" xfId="0" applyFont="1" applyBorder="1" applyAlignment="1">
      <alignment horizontal="center" vertical="center"/>
    </xf>
    <xf numFmtId="0" fontId="4" fillId="0" borderId="11" xfId="0" applyFont="1" applyBorder="1" applyAlignment="1">
      <alignment horizontal="center" vertical="center"/>
    </xf>
    <xf numFmtId="0" fontId="14" fillId="0" borderId="11" xfId="0" applyFont="1" applyBorder="1" applyAlignment="1">
      <alignment horizontal="center" vertical="center"/>
    </xf>
    <xf numFmtId="0" fontId="48" fillId="0" borderId="0" xfId="0" applyFont="1" applyBorder="1" applyAlignment="1">
      <alignment horizontal="center" vertical="center"/>
    </xf>
    <xf numFmtId="0" fontId="9" fillId="0" borderId="10" xfId="0" applyFont="1" applyBorder="1" applyAlignment="1">
      <alignment horizontal="center" vertical="center"/>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3" fillId="0" borderId="32" xfId="0" applyFont="1" applyBorder="1" applyAlignment="1">
      <alignment vertical="center"/>
    </xf>
    <xf numFmtId="0" fontId="14" fillId="0" borderId="0" xfId="4" applyFont="1" applyAlignment="1">
      <alignment vertical="center" wrapText="1"/>
    </xf>
    <xf numFmtId="0" fontId="17" fillId="0" borderId="0" xfId="0" applyFont="1" applyBorder="1" applyAlignment="1">
      <alignment horizontal="center" vertical="center"/>
    </xf>
    <xf numFmtId="0" fontId="58" fillId="0" borderId="0" xfId="0" applyFont="1" applyAlignment="1">
      <alignment horizontal="center" vertical="center"/>
    </xf>
    <xf numFmtId="17" fontId="64" fillId="0" borderId="3" xfId="7" applyNumberFormat="1" applyFont="1" applyBorder="1" applyAlignment="1">
      <alignment horizontal="center" vertical="center"/>
    </xf>
    <xf numFmtId="175" fontId="64" fillId="0" borderId="3" xfId="7" applyNumberFormat="1" applyFont="1" applyBorder="1" applyAlignment="1">
      <alignment horizontal="center" vertical="center"/>
    </xf>
    <xf numFmtId="14" fontId="65" fillId="0" borderId="3" xfId="7" applyNumberFormat="1" applyFont="1" applyBorder="1" applyAlignment="1">
      <alignment vertical="center"/>
    </xf>
    <xf numFmtId="175" fontId="65" fillId="0" borderId="3" xfId="7" applyNumberFormat="1" applyFont="1" applyBorder="1" applyAlignment="1">
      <alignment vertical="center"/>
    </xf>
    <xf numFmtId="0" fontId="64" fillId="0" borderId="3" xfId="7" applyFont="1" applyBorder="1" applyAlignment="1">
      <alignment vertical="center"/>
    </xf>
    <xf numFmtId="49" fontId="65" fillId="0" borderId="3" xfId="7" applyNumberFormat="1" applyFont="1" applyBorder="1" applyAlignment="1">
      <alignment horizontal="center" vertical="center"/>
    </xf>
    <xf numFmtId="175" fontId="65" fillId="0" borderId="3" xfId="7" applyNumberFormat="1" applyFont="1" applyFill="1" applyBorder="1" applyAlignment="1">
      <alignment vertical="center"/>
    </xf>
    <xf numFmtId="178" fontId="64" fillId="0" borderId="3" xfId="7" applyNumberFormat="1" applyFont="1" applyBorder="1" applyAlignment="1">
      <alignment horizontal="center" vertical="center"/>
    </xf>
    <xf numFmtId="4" fontId="17" fillId="0" borderId="3" xfId="7" applyNumberFormat="1" applyFont="1" applyBorder="1" applyAlignment="1">
      <alignment vertical="center"/>
    </xf>
    <xf numFmtId="167" fontId="65" fillId="0" borderId="3" xfId="7" applyNumberFormat="1" applyFont="1" applyBorder="1" applyAlignment="1">
      <alignment vertical="center"/>
    </xf>
    <xf numFmtId="175" fontId="64" fillId="0" borderId="3" xfId="7" applyNumberFormat="1" applyFont="1" applyBorder="1" applyAlignment="1">
      <alignment vertical="center"/>
    </xf>
    <xf numFmtId="175" fontId="64" fillId="0" borderId="3" xfId="7" applyNumberFormat="1" applyFont="1" applyFill="1" applyBorder="1" applyAlignment="1">
      <alignment vertical="center"/>
    </xf>
    <xf numFmtId="0" fontId="20" fillId="0" borderId="0" xfId="0" applyFont="1" applyBorder="1" applyAlignment="1">
      <alignment horizontal="left"/>
    </xf>
    <xf numFmtId="0" fontId="17" fillId="0" borderId="0" xfId="0" applyFont="1" applyAlignment="1">
      <alignment horizontal="center" vertical="center"/>
    </xf>
    <xf numFmtId="175" fontId="4" fillId="2" borderId="11" xfId="0" applyNumberFormat="1" applyFont="1" applyFill="1" applyBorder="1" applyAlignment="1">
      <alignment horizontal="right" vertical="center"/>
    </xf>
    <xf numFmtId="0" fontId="4" fillId="2" borderId="23" xfId="0" applyFont="1" applyFill="1" applyBorder="1" applyAlignment="1">
      <alignment horizontal="center" vertical="center"/>
    </xf>
    <xf numFmtId="175" fontId="4" fillId="2" borderId="7" xfId="0" applyNumberFormat="1" applyFont="1" applyFill="1" applyBorder="1" applyAlignment="1">
      <alignment horizontal="right" vertical="center"/>
    </xf>
    <xf numFmtId="175" fontId="6" fillId="2" borderId="9" xfId="0" applyNumberFormat="1" applyFont="1" applyFill="1" applyBorder="1" applyAlignment="1">
      <alignment horizontal="right" vertical="center"/>
    </xf>
    <xf numFmtId="178" fontId="64" fillId="0" borderId="3" xfId="7" applyNumberFormat="1" applyFont="1" applyFill="1" applyBorder="1" applyAlignment="1">
      <alignment horizontal="center" vertical="center"/>
    </xf>
    <xf numFmtId="4" fontId="17" fillId="0" borderId="3" xfId="7" applyNumberFormat="1" applyFont="1" applyFill="1" applyBorder="1" applyAlignment="1">
      <alignment vertical="center"/>
    </xf>
    <xf numFmtId="167" fontId="65" fillId="0" borderId="3" xfId="7" applyNumberFormat="1" applyFont="1" applyFill="1" applyBorder="1" applyAlignment="1">
      <alignment vertical="center"/>
    </xf>
    <xf numFmtId="49" fontId="64" fillId="0" borderId="3" xfId="7" applyNumberFormat="1" applyFont="1" applyFill="1" applyBorder="1" applyAlignment="1">
      <alignment horizontal="center" vertical="center" wrapText="1"/>
    </xf>
    <xf numFmtId="0" fontId="64" fillId="0" borderId="3" xfId="7" applyFont="1" applyFill="1" applyBorder="1" applyAlignment="1">
      <alignment horizontal="center" vertical="center"/>
    </xf>
    <xf numFmtId="0" fontId="17" fillId="0" borderId="0" xfId="0" applyFont="1" applyAlignment="1">
      <alignment horizontal="center" vertical="center"/>
    </xf>
    <xf numFmtId="0" fontId="64" fillId="0" borderId="3" xfId="7" applyFont="1" applyBorder="1" applyAlignment="1">
      <alignment horizontal="center" vertical="center"/>
    </xf>
    <xf numFmtId="49" fontId="65" fillId="0" borderId="3" xfId="7" applyNumberFormat="1" applyFont="1" applyFill="1" applyBorder="1" applyAlignment="1">
      <alignment horizontal="center" vertical="center"/>
    </xf>
    <xf numFmtId="175" fontId="17" fillId="0" borderId="0" xfId="7" applyNumberFormat="1" applyFont="1" applyAlignment="1">
      <alignment horizontal="center" vertical="center"/>
    </xf>
    <xf numFmtId="0" fontId="17" fillId="0" borderId="0" xfId="7" applyFont="1" applyAlignment="1">
      <alignment horizontal="center" vertical="center"/>
    </xf>
    <xf numFmtId="175" fontId="17" fillId="0" borderId="0" xfId="7" applyNumberFormat="1" applyFont="1" applyAlignment="1">
      <alignment horizontal="left" vertical="center"/>
    </xf>
    <xf numFmtId="0" fontId="68" fillId="0" borderId="0" xfId="0" applyFont="1" applyAlignment="1">
      <alignment horizontal="center" vertical="center"/>
    </xf>
    <xf numFmtId="0" fontId="69" fillId="0" borderId="0" xfId="0" applyFont="1" applyAlignment="1">
      <alignment horizontal="center" vertical="center"/>
    </xf>
    <xf numFmtId="3" fontId="68" fillId="0" borderId="0" xfId="0" applyNumberFormat="1" applyFont="1" applyAlignment="1">
      <alignment horizontal="left"/>
    </xf>
    <xf numFmtId="3" fontId="68" fillId="0" borderId="0" xfId="0" applyNumberFormat="1" applyFont="1" applyAlignment="1">
      <alignment horizontal="center"/>
    </xf>
    <xf numFmtId="0" fontId="69" fillId="0" borderId="0" xfId="0" applyFont="1" applyBorder="1" applyAlignment="1">
      <alignment horizontal="center" vertical="center"/>
    </xf>
    <xf numFmtId="3" fontId="70" fillId="0" borderId="0" xfId="0" applyNumberFormat="1" applyFont="1" applyBorder="1" applyAlignment="1">
      <alignment vertical="center"/>
    </xf>
    <xf numFmtId="0" fontId="70" fillId="0" borderId="11" xfId="0" applyFont="1" applyBorder="1" applyAlignment="1">
      <alignment horizontal="center" vertical="center"/>
    </xf>
    <xf numFmtId="4" fontId="69" fillId="0" borderId="0" xfId="0" applyNumberFormat="1" applyFont="1" applyBorder="1" applyAlignment="1">
      <alignment horizontal="center" vertical="center"/>
    </xf>
    <xf numFmtId="166" fontId="49" fillId="0" borderId="0" xfId="4" applyNumberFormat="1" applyFont="1" applyAlignment="1">
      <alignment horizontal="center" vertical="center" wrapText="1"/>
    </xf>
    <xf numFmtId="49" fontId="65" fillId="0" borderId="0" xfId="7" applyNumberFormat="1" applyFont="1" applyAlignment="1">
      <alignment horizontal="center" vertical="center"/>
    </xf>
    <xf numFmtId="0" fontId="64" fillId="0" borderId="3" xfId="7" applyFont="1" applyBorder="1" applyAlignment="1">
      <alignment horizontal="center" vertical="center"/>
    </xf>
    <xf numFmtId="0" fontId="12" fillId="0" borderId="26" xfId="0" applyFont="1" applyBorder="1" applyAlignment="1">
      <alignment horizontal="center" vertical="center" wrapText="1"/>
    </xf>
    <xf numFmtId="0" fontId="12" fillId="0" borderId="24" xfId="0" applyFont="1" applyBorder="1" applyAlignment="1">
      <alignment horizontal="center" vertical="center" wrapText="1"/>
    </xf>
    <xf numFmtId="3" fontId="12" fillId="0" borderId="24" xfId="0" applyNumberFormat="1" applyFont="1" applyBorder="1" applyAlignment="1">
      <alignment horizontal="center" vertical="center" wrapText="1"/>
    </xf>
    <xf numFmtId="0" fontId="12" fillId="0" borderId="27" xfId="0" applyFont="1" applyBorder="1" applyAlignment="1">
      <alignment horizontal="center" vertical="center" wrapText="1"/>
    </xf>
    <xf numFmtId="14" fontId="12" fillId="0" borderId="4" xfId="0" applyNumberFormat="1" applyFont="1" applyBorder="1" applyAlignment="1">
      <alignment horizontal="right" vertical="center"/>
    </xf>
    <xf numFmtId="174" fontId="12" fillId="0" borderId="5" xfId="0" applyNumberFormat="1" applyFont="1" applyBorder="1" applyAlignment="1">
      <alignment vertical="center"/>
    </xf>
    <xf numFmtId="14" fontId="12" fillId="0" borderId="4" xfId="0" applyNumberFormat="1" applyFont="1" applyBorder="1" applyAlignment="1">
      <alignment vertical="center"/>
    </xf>
    <xf numFmtId="14" fontId="12" fillId="0" borderId="8" xfId="0" applyNumberFormat="1" applyFont="1" applyBorder="1" applyAlignment="1">
      <alignment vertical="center"/>
    </xf>
    <xf numFmtId="0" fontId="4" fillId="0" borderId="1" xfId="0" applyFont="1" applyBorder="1" applyAlignment="1">
      <alignment horizontal="center" vertical="center"/>
    </xf>
    <xf numFmtId="173" fontId="12" fillId="0" borderId="1" xfId="0" applyNumberFormat="1" applyFont="1" applyBorder="1" applyAlignment="1">
      <alignment vertical="center"/>
    </xf>
    <xf numFmtId="174" fontId="51" fillId="0" borderId="1" xfId="0" applyNumberFormat="1" applyFont="1" applyBorder="1" applyAlignment="1">
      <alignment vertical="center"/>
    </xf>
    <xf numFmtId="174" fontId="12" fillId="0" borderId="6" xfId="0" applyNumberFormat="1" applyFont="1" applyBorder="1" applyAlignment="1">
      <alignment vertical="center"/>
    </xf>
    <xf numFmtId="167" fontId="61" fillId="3" borderId="1" xfId="0" applyNumberFormat="1" applyFont="1" applyFill="1" applyBorder="1" applyAlignment="1">
      <alignment horizontal="right" vertical="center" wrapText="1"/>
    </xf>
    <xf numFmtId="0" fontId="72" fillId="0" borderId="0" xfId="6" applyFont="1" applyAlignment="1">
      <alignment vertical="center"/>
    </xf>
    <xf numFmtId="14" fontId="73" fillId="0" borderId="16" xfId="6" applyNumberFormat="1" applyFont="1" applyBorder="1" applyAlignment="1">
      <alignment vertical="center"/>
    </xf>
    <xf numFmtId="0" fontId="73" fillId="0" borderId="17" xfId="6" applyFont="1" applyBorder="1" applyAlignment="1">
      <alignment horizontal="center" vertical="center"/>
    </xf>
    <xf numFmtId="0" fontId="73" fillId="0" borderId="17" xfId="6" applyFont="1" applyBorder="1" applyAlignment="1">
      <alignment vertical="center"/>
    </xf>
    <xf numFmtId="0" fontId="72" fillId="0" borderId="18" xfId="6" applyFont="1" applyBorder="1" applyAlignment="1">
      <alignment vertical="center"/>
    </xf>
    <xf numFmtId="0" fontId="74" fillId="0" borderId="3" xfId="6" applyFont="1" applyBorder="1" applyAlignment="1">
      <alignment vertical="center"/>
    </xf>
    <xf numFmtId="0" fontId="73" fillId="0" borderId="3" xfId="6" applyFont="1" applyBorder="1" applyAlignment="1">
      <alignment horizontal="center" vertical="center"/>
    </xf>
    <xf numFmtId="0" fontId="14" fillId="0" borderId="13" xfId="0" applyFont="1" applyBorder="1" applyAlignment="1">
      <alignment horizontal="center" wrapText="1"/>
    </xf>
    <xf numFmtId="0" fontId="12" fillId="0" borderId="16" xfId="1" applyFont="1" applyBorder="1" applyAlignment="1" applyProtection="1">
      <alignment horizontal="left" vertical="center"/>
    </xf>
    <xf numFmtId="0" fontId="12" fillId="0" borderId="17" xfId="1" applyFont="1" applyBorder="1" applyAlignment="1" applyProtection="1">
      <alignment horizontal="left" vertical="center"/>
    </xf>
    <xf numFmtId="0" fontId="13" fillId="0" borderId="12" xfId="0" applyFont="1" applyBorder="1" applyAlignment="1">
      <alignment horizontal="center" vertical="center" wrapText="1"/>
    </xf>
    <xf numFmtId="0" fontId="13" fillId="0" borderId="31" xfId="0" applyFont="1" applyBorder="1" applyAlignment="1">
      <alignment horizontal="center" vertical="center" wrapText="1"/>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3" fillId="0" borderId="0" xfId="0" applyFont="1" applyAlignment="1">
      <alignment horizontal="center" vertical="center"/>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12" fillId="0" borderId="38" xfId="1" applyFont="1" applyBorder="1" applyAlignment="1" applyProtection="1">
      <alignment horizontal="left" vertical="center"/>
    </xf>
    <xf numFmtId="0" fontId="12" fillId="0" borderId="49" xfId="1" applyFont="1" applyBorder="1" applyAlignment="1" applyProtection="1">
      <alignment horizontal="left" vertical="center"/>
    </xf>
    <xf numFmtId="0" fontId="13" fillId="0" borderId="50" xfId="0" applyFont="1" applyBorder="1" applyAlignment="1">
      <alignment horizontal="center" vertical="center" wrapText="1"/>
    </xf>
    <xf numFmtId="0" fontId="13" fillId="0" borderId="51" xfId="0" applyFont="1" applyBorder="1" applyAlignment="1">
      <alignment horizontal="center" vertical="center"/>
    </xf>
    <xf numFmtId="0" fontId="13" fillId="0" borderId="52" xfId="0" applyFont="1" applyBorder="1" applyAlignment="1">
      <alignment horizontal="left" vertical="center"/>
    </xf>
    <xf numFmtId="0" fontId="13" fillId="0" borderId="13" xfId="0" applyFont="1" applyBorder="1" applyAlignment="1">
      <alignment horizontal="left" vertical="center"/>
    </xf>
    <xf numFmtId="0" fontId="13" fillId="0" borderId="53" xfId="0" applyFont="1" applyBorder="1" applyAlignment="1">
      <alignment horizontal="left" vertical="center"/>
    </xf>
    <xf numFmtId="0" fontId="13" fillId="0" borderId="32" xfId="0" applyFont="1" applyBorder="1" applyAlignment="1">
      <alignment horizontal="left" vertical="center"/>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5" fillId="0" borderId="0" xfId="0" applyFont="1" applyBorder="1" applyAlignment="1">
      <alignment horizontal="left" vertical="center"/>
    </xf>
    <xf numFmtId="0" fontId="52" fillId="0" borderId="0" xfId="0" applyFont="1" applyBorder="1" applyAlignment="1">
      <alignment horizontal="center" vertical="center"/>
    </xf>
    <xf numFmtId="0" fontId="52" fillId="0" borderId="11" xfId="0" applyFont="1" applyBorder="1" applyAlignment="1">
      <alignment horizontal="center" vertical="center"/>
    </xf>
    <xf numFmtId="0" fontId="20" fillId="0" borderId="10" xfId="0" applyFont="1" applyBorder="1" applyAlignment="1">
      <alignment horizontal="center"/>
    </xf>
    <xf numFmtId="0" fontId="20" fillId="0" borderId="0" xfId="0" applyFont="1" applyBorder="1" applyAlignment="1">
      <alignment horizontal="center"/>
    </xf>
    <xf numFmtId="0" fontId="0" fillId="0" borderId="0" xfId="0" applyBorder="1" applyAlignment="1">
      <alignment horizontal="center"/>
    </xf>
    <xf numFmtId="0" fontId="25" fillId="0" borderId="10" xfId="0" applyFont="1" applyBorder="1" applyAlignment="1">
      <alignment horizontal="center"/>
    </xf>
    <xf numFmtId="0" fontId="25" fillId="0" borderId="0" xfId="0" applyFont="1" applyBorder="1" applyAlignment="1">
      <alignment horizontal="center"/>
    </xf>
    <xf numFmtId="4" fontId="20" fillId="0" borderId="10" xfId="0" applyNumberFormat="1" applyFont="1" applyBorder="1" applyAlignment="1">
      <alignment horizontal="center"/>
    </xf>
    <xf numFmtId="4" fontId="20" fillId="0" borderId="0" xfId="0" applyNumberFormat="1" applyFont="1" applyBorder="1" applyAlignment="1">
      <alignment horizontal="center"/>
    </xf>
    <xf numFmtId="0" fontId="4" fillId="0" borderId="0" xfId="0" applyFont="1" applyBorder="1" applyAlignment="1">
      <alignment horizontal="center" vertical="center"/>
    </xf>
    <xf numFmtId="0" fontId="20" fillId="0" borderId="10" xfId="0" applyFont="1" applyBorder="1" applyAlignment="1">
      <alignment horizontal="left"/>
    </xf>
    <xf numFmtId="0" fontId="20" fillId="0" borderId="0" xfId="0" applyFont="1" applyBorder="1" applyAlignment="1">
      <alignment horizontal="left"/>
    </xf>
    <xf numFmtId="0" fontId="21" fillId="0" borderId="32" xfId="0" applyFont="1" applyBorder="1" applyAlignment="1">
      <alignment horizontal="center"/>
    </xf>
    <xf numFmtId="0" fontId="20" fillId="0" borderId="32" xfId="0" applyFont="1" applyBorder="1" applyAlignment="1">
      <alignment horizontal="center"/>
    </xf>
    <xf numFmtId="0" fontId="21" fillId="0" borderId="10" xfId="0" applyFont="1" applyBorder="1" applyAlignment="1">
      <alignment horizontal="center"/>
    </xf>
    <xf numFmtId="0" fontId="21" fillId="0" borderId="0" xfId="0" applyFont="1" applyBorder="1" applyAlignment="1">
      <alignment horizontal="center"/>
    </xf>
    <xf numFmtId="0" fontId="21" fillId="0" borderId="11" xfId="0" applyFont="1" applyBorder="1" applyAlignment="1">
      <alignment horizontal="center"/>
    </xf>
    <xf numFmtId="0" fontId="20" fillId="0" borderId="12" xfId="0" applyFont="1" applyBorder="1" applyAlignment="1">
      <alignment horizontal="left"/>
    </xf>
    <xf numFmtId="0" fontId="20" fillId="0" borderId="13" xfId="0" applyFont="1" applyBorder="1" applyAlignment="1">
      <alignment horizontal="left"/>
    </xf>
    <xf numFmtId="0" fontId="20" fillId="0" borderId="10" xfId="0" applyFont="1" applyBorder="1" applyAlignment="1">
      <alignment horizontal="left" wrapText="1"/>
    </xf>
    <xf numFmtId="0" fontId="20" fillId="0" borderId="0" xfId="0" applyFont="1" applyBorder="1" applyAlignment="1">
      <alignment horizontal="left" wrapText="1"/>
    </xf>
    <xf numFmtId="0" fontId="43" fillId="0" borderId="0" xfId="0" applyFont="1" applyBorder="1" applyAlignment="1">
      <alignment horizontal="left" wrapText="1"/>
    </xf>
    <xf numFmtId="0" fontId="43" fillId="0" borderId="11" xfId="0" applyFont="1" applyBorder="1" applyAlignment="1">
      <alignment horizontal="left" wrapText="1"/>
    </xf>
    <xf numFmtId="0" fontId="25" fillId="0" borderId="11" xfId="0" applyFont="1" applyBorder="1" applyAlignment="1">
      <alignment horizontal="center"/>
    </xf>
    <xf numFmtId="0" fontId="4" fillId="0" borderId="0" xfId="0" applyFont="1" applyBorder="1" applyAlignment="1">
      <alignment horizontal="center"/>
    </xf>
    <xf numFmtId="0" fontId="4" fillId="0" borderId="11" xfId="0" applyFont="1" applyBorder="1" applyAlignment="1">
      <alignment horizontal="center"/>
    </xf>
    <xf numFmtId="0" fontId="36" fillId="0" borderId="12" xfId="0" applyFont="1" applyBorder="1" applyAlignment="1">
      <alignment horizontal="left" vertical="center"/>
    </xf>
    <xf numFmtId="0" fontId="36" fillId="0" borderId="13" xfId="0" applyFont="1" applyBorder="1" applyAlignment="1">
      <alignment horizontal="left" vertical="center"/>
    </xf>
    <xf numFmtId="0" fontId="20" fillId="0" borderId="11" xfId="0" applyFont="1" applyBorder="1" applyAlignment="1">
      <alignment horizontal="center"/>
    </xf>
    <xf numFmtId="0" fontId="56" fillId="0" borderId="16" xfId="6" applyFont="1" applyBorder="1" applyAlignment="1">
      <alignment horizontal="center" vertical="center"/>
    </xf>
    <xf numFmtId="0" fontId="56" fillId="0" borderId="17" xfId="6" applyFont="1" applyBorder="1" applyAlignment="1">
      <alignment horizontal="center" vertical="center"/>
    </xf>
    <xf numFmtId="0" fontId="56" fillId="0" borderId="19" xfId="6" applyFont="1" applyBorder="1" applyAlignment="1">
      <alignment horizontal="center" vertical="center"/>
    </xf>
    <xf numFmtId="0" fontId="55" fillId="0" borderId="16" xfId="6" applyFont="1" applyBorder="1" applyAlignment="1">
      <alignment horizontal="center" vertical="center"/>
    </xf>
    <xf numFmtId="0" fontId="55" fillId="0" borderId="17" xfId="6" applyFont="1" applyBorder="1" applyAlignment="1">
      <alignment horizontal="center" vertical="center"/>
    </xf>
    <xf numFmtId="0" fontId="55" fillId="0" borderId="19" xfId="6" applyFont="1" applyBorder="1" applyAlignment="1">
      <alignment horizontal="center" vertical="center"/>
    </xf>
    <xf numFmtId="0" fontId="54" fillId="0" borderId="59" xfId="6" applyFont="1" applyBorder="1" applyAlignment="1">
      <alignment horizontal="center" vertical="center"/>
    </xf>
    <xf numFmtId="0" fontId="54" fillId="0" borderId="62" xfId="6" applyFont="1" applyBorder="1" applyAlignment="1">
      <alignment horizontal="center" vertical="center"/>
    </xf>
    <xf numFmtId="0" fontId="54" fillId="0" borderId="60" xfId="6" applyFont="1" applyBorder="1" applyAlignment="1">
      <alignment horizontal="center" vertical="center"/>
    </xf>
    <xf numFmtId="0" fontId="54" fillId="0" borderId="61" xfId="6" applyFont="1" applyBorder="1" applyAlignment="1">
      <alignment horizontal="center" vertical="center"/>
    </xf>
    <xf numFmtId="0" fontId="54" fillId="0" borderId="0" xfId="6" applyFont="1" applyBorder="1" applyAlignment="1">
      <alignment horizontal="center" vertical="center"/>
    </xf>
    <xf numFmtId="0" fontId="54" fillId="0" borderId="11" xfId="6" applyFont="1" applyBorder="1" applyAlignment="1">
      <alignment horizontal="center" vertical="center"/>
    </xf>
    <xf numFmtId="0" fontId="54" fillId="0" borderId="53" xfId="6" applyFont="1" applyBorder="1" applyAlignment="1">
      <alignment horizontal="center" vertical="center"/>
    </xf>
    <xf numFmtId="0" fontId="54" fillId="0" borderId="32" xfId="6" applyFont="1" applyBorder="1" applyAlignment="1">
      <alignment horizontal="center" vertical="center"/>
    </xf>
    <xf numFmtId="0" fontId="54" fillId="0" borderId="33" xfId="6" applyFont="1" applyBorder="1" applyAlignment="1">
      <alignment horizontal="center" vertical="center"/>
    </xf>
    <xf numFmtId="0" fontId="53" fillId="0" borderId="26" xfId="6" applyFont="1" applyBorder="1" applyAlignment="1">
      <alignment horizontal="center" vertical="center"/>
    </xf>
    <xf numFmtId="0" fontId="53" fillId="0" borderId="43" xfId="6" applyFont="1" applyBorder="1" applyAlignment="1">
      <alignment horizontal="center" vertical="center"/>
    </xf>
    <xf numFmtId="0" fontId="53" fillId="0" borderId="27" xfId="6" applyFont="1" applyBorder="1" applyAlignment="1">
      <alignment horizontal="center" vertical="center"/>
    </xf>
    <xf numFmtId="0" fontId="55" fillId="0" borderId="4" xfId="6" applyFont="1" applyBorder="1" applyAlignment="1">
      <alignment horizontal="center" vertical="center"/>
    </xf>
    <xf numFmtId="0" fontId="55" fillId="0" borderId="5" xfId="6" applyFont="1" applyBorder="1" applyAlignment="1">
      <alignment horizontal="center" vertical="center"/>
    </xf>
    <xf numFmtId="0" fontId="53" fillId="0" borderId="36" xfId="6" applyFont="1" applyBorder="1" applyAlignment="1">
      <alignment horizontal="center" vertical="center"/>
    </xf>
    <xf numFmtId="0" fontId="53" fillId="0" borderId="17" xfId="6" applyFont="1" applyBorder="1" applyAlignment="1">
      <alignment horizontal="center" vertical="center"/>
    </xf>
    <xf numFmtId="0" fontId="54" fillId="0" borderId="4" xfId="6" applyFont="1" applyBorder="1" applyAlignment="1">
      <alignment horizontal="center" vertical="center"/>
    </xf>
    <xf numFmtId="0" fontId="54" fillId="0" borderId="8" xfId="6" applyFont="1" applyBorder="1" applyAlignment="1">
      <alignment horizontal="center" vertical="center"/>
    </xf>
    <xf numFmtId="0" fontId="72" fillId="0" borderId="3" xfId="6" applyFont="1" applyBorder="1" applyAlignment="1">
      <alignment horizontal="center" vertical="center"/>
    </xf>
    <xf numFmtId="0" fontId="73" fillId="0" borderId="3" xfId="6" applyFont="1" applyBorder="1" applyAlignment="1">
      <alignment horizontal="center" vertical="center"/>
    </xf>
    <xf numFmtId="0" fontId="71" fillId="0" borderId="3" xfId="6" applyFont="1" applyBorder="1" applyAlignment="1">
      <alignment horizontal="center" vertical="center"/>
    </xf>
    <xf numFmtId="0" fontId="71" fillId="0" borderId="16" xfId="6" applyFont="1" applyBorder="1" applyAlignment="1">
      <alignment horizontal="center" vertical="center"/>
    </xf>
    <xf numFmtId="0" fontId="71" fillId="0" borderId="17" xfId="6" applyFont="1" applyBorder="1" applyAlignment="1">
      <alignment horizontal="center" vertical="center"/>
    </xf>
    <xf numFmtId="0" fontId="71" fillId="0" borderId="18" xfId="6" applyFont="1" applyBorder="1" applyAlignment="1">
      <alignment horizontal="center" vertical="center"/>
    </xf>
    <xf numFmtId="0" fontId="54" fillId="0" borderId="3" xfId="6" applyFont="1" applyBorder="1" applyAlignment="1">
      <alignment horizontal="center" vertical="center"/>
    </xf>
    <xf numFmtId="0" fontId="55" fillId="0" borderId="3" xfId="6" applyFont="1" applyBorder="1" applyAlignment="1">
      <alignment horizontal="center" vertical="center"/>
    </xf>
    <xf numFmtId="0" fontId="53" fillId="0" borderId="3" xfId="6" applyFont="1" applyBorder="1" applyAlignment="1">
      <alignment horizontal="center" vertical="center"/>
    </xf>
    <xf numFmtId="0" fontId="24" fillId="0" borderId="0" xfId="0" applyFont="1" applyBorder="1" applyAlignment="1">
      <alignment horizontal="left"/>
    </xf>
    <xf numFmtId="0" fontId="24" fillId="0" borderId="11" xfId="0" applyFont="1" applyBorder="1" applyAlignment="1">
      <alignment horizontal="left"/>
    </xf>
    <xf numFmtId="0" fontId="37" fillId="0" borderId="0" xfId="0" applyFont="1" applyBorder="1" applyAlignment="1">
      <alignment horizontal="center"/>
    </xf>
    <xf numFmtId="0" fontId="37" fillId="0" borderId="11" xfId="0" applyFont="1" applyBorder="1" applyAlignment="1">
      <alignment horizontal="center"/>
    </xf>
    <xf numFmtId="4" fontId="20" fillId="0" borderId="11" xfId="0" applyNumberFormat="1" applyFont="1" applyBorder="1" applyAlignment="1">
      <alignment horizontal="center"/>
    </xf>
    <xf numFmtId="0" fontId="25" fillId="0" borderId="0" xfId="0" applyFont="1" applyBorder="1" applyAlignment="1">
      <alignment horizontal="center" wrapText="1"/>
    </xf>
    <xf numFmtId="0" fontId="20" fillId="0" borderId="0" xfId="0" applyFont="1" applyBorder="1" applyAlignment="1">
      <alignment horizontal="center" wrapText="1"/>
    </xf>
    <xf numFmtId="0" fontId="14" fillId="0" borderId="0" xfId="0" applyFont="1" applyAlignment="1">
      <alignment horizontal="center" vertical="center"/>
    </xf>
    <xf numFmtId="0" fontId="14" fillId="0" borderId="0" xfId="0" applyFont="1" applyFill="1" applyBorder="1" applyAlignment="1">
      <alignment horizontal="center" vertical="center"/>
    </xf>
    <xf numFmtId="0" fontId="28" fillId="0" borderId="0" xfId="0" applyFont="1" applyAlignment="1">
      <alignment horizontal="center" vertical="center"/>
    </xf>
    <xf numFmtId="4" fontId="35" fillId="0" borderId="0" xfId="0" applyNumberFormat="1" applyFont="1" applyAlignment="1">
      <alignment horizontal="center" vertical="center"/>
    </xf>
    <xf numFmtId="0" fontId="35" fillId="0" borderId="0" xfId="0" applyNumberFormat="1" applyFont="1" applyAlignment="1">
      <alignment horizontal="center" vertical="center"/>
    </xf>
    <xf numFmtId="0" fontId="22" fillId="0" borderId="28" xfId="0" applyFont="1" applyBorder="1" applyAlignment="1">
      <alignment horizontal="center" wrapText="1"/>
    </xf>
    <xf numFmtId="0" fontId="22" fillId="0" borderId="29" xfId="0" applyFont="1" applyBorder="1" applyAlignment="1">
      <alignment horizontal="center" wrapText="1"/>
    </xf>
    <xf numFmtId="0" fontId="22" fillId="0" borderId="30" xfId="0" applyFont="1" applyBorder="1" applyAlignment="1">
      <alignment horizontal="center" wrapText="1"/>
    </xf>
    <xf numFmtId="0" fontId="22" fillId="0" borderId="28" xfId="0" applyNumberFormat="1" applyFont="1" applyBorder="1" applyAlignment="1">
      <alignment horizontal="center" vertical="center" wrapText="1"/>
    </xf>
    <xf numFmtId="0" fontId="22" fillId="0" borderId="29" xfId="0" applyNumberFormat="1" applyFont="1" applyBorder="1" applyAlignment="1">
      <alignment horizontal="center" vertical="center" wrapText="1"/>
    </xf>
    <xf numFmtId="0" fontId="22" fillId="0" borderId="30" xfId="0" applyNumberFormat="1" applyFont="1" applyBorder="1" applyAlignment="1">
      <alignment horizontal="center" vertical="center" wrapText="1"/>
    </xf>
    <xf numFmtId="0" fontId="22" fillId="0" borderId="40" xfId="0" applyNumberFormat="1" applyFont="1" applyBorder="1" applyAlignment="1">
      <alignment horizontal="center" vertical="center" wrapText="1"/>
    </xf>
    <xf numFmtId="49" fontId="6" fillId="0" borderId="28"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49" fontId="6" fillId="0" borderId="40" xfId="0" applyNumberFormat="1" applyFont="1" applyBorder="1" applyAlignment="1">
      <alignment horizontal="center" vertical="center" wrapText="1"/>
    </xf>
    <xf numFmtId="0" fontId="31" fillId="0" borderId="57"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1" xfId="0" applyFont="1" applyFill="1" applyBorder="1" applyAlignment="1">
      <alignment horizontal="center" vertical="center" wrapText="1"/>
    </xf>
    <xf numFmtId="164" fontId="28" fillId="0" borderId="0" xfId="0" applyNumberFormat="1" applyFont="1" applyAlignment="1">
      <alignment horizontal="center" vertical="center"/>
    </xf>
    <xf numFmtId="0" fontId="22" fillId="0" borderId="63" xfId="0" applyNumberFormat="1" applyFont="1" applyBorder="1" applyAlignment="1">
      <alignment horizontal="center" vertical="center" wrapText="1"/>
    </xf>
    <xf numFmtId="0" fontId="22" fillId="0" borderId="39" xfId="0" applyNumberFormat="1" applyFont="1" applyBorder="1" applyAlignment="1">
      <alignment horizontal="center" vertical="center" wrapText="1"/>
    </xf>
    <xf numFmtId="0" fontId="22" fillId="0" borderId="9" xfId="0" applyNumberFormat="1" applyFont="1" applyBorder="1" applyAlignment="1">
      <alignment horizontal="center" vertical="center" wrapText="1"/>
    </xf>
    <xf numFmtId="49" fontId="6" fillId="0" borderId="64" xfId="0" applyNumberFormat="1" applyFont="1" applyBorder="1" applyAlignment="1">
      <alignment horizontal="center" vertical="center" wrapText="1"/>
    </xf>
    <xf numFmtId="49" fontId="6" fillId="0" borderId="46" xfId="0" applyNumberFormat="1" applyFont="1" applyBorder="1" applyAlignment="1">
      <alignment horizontal="center" vertical="center" wrapText="1"/>
    </xf>
    <xf numFmtId="0" fontId="60" fillId="0" borderId="3" xfId="0" applyFont="1" applyFill="1" applyBorder="1" applyAlignment="1">
      <alignment horizontal="center" vertical="center" wrapText="1"/>
    </xf>
    <xf numFmtId="164" fontId="14"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2" fillId="0" borderId="63"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9" xfId="0" applyFont="1" applyBorder="1" applyAlignment="1">
      <alignment horizontal="center" vertical="center" wrapText="1"/>
    </xf>
    <xf numFmtId="49" fontId="28" fillId="0" borderId="0" xfId="0" applyNumberFormat="1" applyFont="1" applyAlignment="1">
      <alignment horizontal="center" vertical="center"/>
    </xf>
    <xf numFmtId="0" fontId="22" fillId="0" borderId="54"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34" xfId="0" applyNumberFormat="1" applyFont="1" applyBorder="1" applyAlignment="1">
      <alignment horizontal="center" vertical="center" wrapText="1"/>
    </xf>
    <xf numFmtId="0" fontId="22" fillId="0" borderId="35" xfId="0" applyNumberFormat="1" applyFont="1" applyBorder="1" applyAlignment="1">
      <alignment horizontal="center" vertical="center" wrapText="1"/>
    </xf>
    <xf numFmtId="49" fontId="6" fillId="0" borderId="63"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0" fontId="60" fillId="0" borderId="8"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28" fillId="3" borderId="0" xfId="0" applyFont="1" applyFill="1" applyAlignment="1">
      <alignment horizontal="center" vertical="center"/>
    </xf>
    <xf numFmtId="164" fontId="28" fillId="3" borderId="0" xfId="0" applyNumberFormat="1" applyFont="1" applyFill="1" applyAlignment="1">
      <alignment horizontal="center" vertical="center"/>
    </xf>
    <xf numFmtId="0" fontId="14" fillId="3" borderId="0" xfId="0" applyFont="1" applyFill="1" applyAlignment="1">
      <alignment horizontal="center" vertical="center"/>
    </xf>
    <xf numFmtId="164" fontId="14" fillId="3" borderId="0" xfId="0" applyNumberFormat="1" applyFont="1" applyFill="1" applyBorder="1" applyAlignment="1">
      <alignment horizontal="center" vertical="center"/>
    </xf>
    <xf numFmtId="0" fontId="17" fillId="3" borderId="0" xfId="0" applyFont="1" applyFill="1" applyBorder="1" applyAlignment="1">
      <alignment horizontal="center" vertical="center"/>
    </xf>
    <xf numFmtId="0" fontId="26" fillId="3" borderId="0" xfId="0" applyFont="1" applyFill="1" applyBorder="1" applyAlignment="1">
      <alignment horizontal="center" vertical="center"/>
    </xf>
    <xf numFmtId="0" fontId="22" fillId="3" borderId="3" xfId="0" applyFont="1" applyFill="1" applyBorder="1" applyAlignment="1">
      <alignment horizontal="center" vertical="center" wrapText="1"/>
    </xf>
    <xf numFmtId="0" fontId="22" fillId="3" borderId="3"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0" fontId="60" fillId="3" borderId="3" xfId="0" applyFont="1" applyFill="1" applyBorder="1" applyAlignment="1">
      <alignment horizontal="center" vertical="center" wrapText="1"/>
    </xf>
    <xf numFmtId="0" fontId="22" fillId="3" borderId="63"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63" xfId="0" applyNumberFormat="1" applyFont="1" applyFill="1" applyBorder="1" applyAlignment="1">
      <alignment horizontal="center" vertical="center" wrapText="1"/>
    </xf>
    <xf numFmtId="0" fontId="22" fillId="3" borderId="39" xfId="0" applyNumberFormat="1" applyFont="1" applyFill="1" applyBorder="1" applyAlignment="1">
      <alignment horizontal="center" vertical="center" wrapText="1"/>
    </xf>
    <xf numFmtId="0" fontId="22" fillId="3" borderId="9" xfId="0" applyNumberFormat="1" applyFont="1" applyFill="1" applyBorder="1" applyAlignment="1">
      <alignment horizontal="center" vertical="center" wrapText="1"/>
    </xf>
    <xf numFmtId="0" fontId="22" fillId="3" borderId="54" xfId="0" applyNumberFormat="1" applyFont="1" applyFill="1" applyBorder="1" applyAlignment="1">
      <alignment horizontal="center" vertical="center" wrapText="1"/>
    </xf>
    <xf numFmtId="0" fontId="22" fillId="3" borderId="45" xfId="0" applyNumberFormat="1" applyFont="1" applyFill="1" applyBorder="1" applyAlignment="1">
      <alignment horizontal="center" vertical="center" wrapText="1"/>
    </xf>
    <xf numFmtId="49" fontId="6" fillId="3" borderId="63" xfId="0" applyNumberFormat="1" applyFont="1" applyFill="1" applyBorder="1" applyAlignment="1">
      <alignment horizontal="center" vertical="center" wrapText="1"/>
    </xf>
    <xf numFmtId="49" fontId="6" fillId="3" borderId="39" xfId="0" applyNumberFormat="1" applyFont="1" applyFill="1" applyBorder="1" applyAlignment="1">
      <alignment horizontal="center" vertical="center" wrapText="1"/>
    </xf>
    <xf numFmtId="0" fontId="60" fillId="3" borderId="8" xfId="0" applyFont="1" applyFill="1" applyBorder="1" applyAlignment="1">
      <alignment horizontal="center" vertical="center" wrapText="1"/>
    </xf>
    <xf numFmtId="0" fontId="60" fillId="3" borderId="1" xfId="0" applyFont="1" applyFill="1" applyBorder="1" applyAlignment="1">
      <alignment horizontal="center" vertical="center" wrapText="1"/>
    </xf>
    <xf numFmtId="175" fontId="65" fillId="0" borderId="68" xfId="7" applyNumberFormat="1" applyFont="1" applyFill="1" applyBorder="1" applyAlignment="1">
      <alignment horizontal="center" vertical="center"/>
    </xf>
    <xf numFmtId="175" fontId="65" fillId="0" borderId="35" xfId="7" applyNumberFormat="1" applyFont="1" applyFill="1" applyBorder="1" applyAlignment="1">
      <alignment horizontal="center" vertical="center"/>
    </xf>
    <xf numFmtId="175" fontId="65" fillId="0" borderId="2" xfId="7" applyNumberFormat="1" applyFont="1" applyFill="1" applyBorder="1" applyAlignment="1">
      <alignment horizontal="center" vertical="center"/>
    </xf>
    <xf numFmtId="49" fontId="65" fillId="0" borderId="68" xfId="7" applyNumberFormat="1" applyFont="1" applyFill="1" applyBorder="1" applyAlignment="1">
      <alignment horizontal="center" vertical="center"/>
    </xf>
    <xf numFmtId="49" fontId="65" fillId="0" borderId="35" xfId="7" applyNumberFormat="1" applyFont="1" applyFill="1" applyBorder="1" applyAlignment="1">
      <alignment horizontal="center" vertical="center"/>
    </xf>
    <xf numFmtId="49" fontId="65" fillId="0" borderId="2" xfId="7" applyNumberFormat="1" applyFont="1" applyFill="1" applyBorder="1" applyAlignment="1">
      <alignment horizontal="center" vertical="center"/>
    </xf>
    <xf numFmtId="0" fontId="64" fillId="0" borderId="3" xfId="7" applyFont="1" applyBorder="1" applyAlignment="1">
      <alignment horizontal="center" vertical="center"/>
    </xf>
    <xf numFmtId="49" fontId="65" fillId="0" borderId="3" xfId="7" applyNumberFormat="1" applyFont="1" applyFill="1" applyBorder="1" applyAlignment="1">
      <alignment horizontal="center" vertical="center"/>
    </xf>
    <xf numFmtId="175" fontId="65" fillId="0" borderId="3" xfId="7" applyNumberFormat="1" applyFont="1" applyFill="1" applyBorder="1" applyAlignment="1">
      <alignment horizontal="right" vertical="center"/>
    </xf>
    <xf numFmtId="175" fontId="65" fillId="0" borderId="3" xfId="7" applyNumberFormat="1" applyFont="1" applyFill="1" applyBorder="1" applyAlignment="1">
      <alignment horizontal="center" vertical="center"/>
    </xf>
    <xf numFmtId="178" fontId="64" fillId="0" borderId="16" xfId="7" applyNumberFormat="1" applyFont="1" applyFill="1" applyBorder="1" applyAlignment="1">
      <alignment horizontal="center" vertical="center"/>
    </xf>
    <xf numFmtId="178" fontId="64" fillId="0" borderId="17" xfId="7" applyNumberFormat="1" applyFont="1" applyFill="1" applyBorder="1" applyAlignment="1">
      <alignment horizontal="center" vertical="center"/>
    </xf>
    <xf numFmtId="178" fontId="64" fillId="0" borderId="18" xfId="7" applyNumberFormat="1" applyFont="1" applyFill="1" applyBorder="1" applyAlignment="1">
      <alignment horizontal="center" vertical="center"/>
    </xf>
    <xf numFmtId="0" fontId="17" fillId="0" borderId="0" xfId="0" applyFont="1" applyAlignment="1">
      <alignment horizontal="center" vertical="center"/>
    </xf>
    <xf numFmtId="0" fontId="64" fillId="0" borderId="16" xfId="7" applyFont="1" applyFill="1" applyBorder="1" applyAlignment="1">
      <alignment horizontal="center" vertical="center"/>
    </xf>
    <xf numFmtId="0" fontId="64" fillId="0" borderId="17" xfId="7" applyFont="1" applyFill="1" applyBorder="1" applyAlignment="1">
      <alignment horizontal="center" vertical="center"/>
    </xf>
    <xf numFmtId="0" fontId="64" fillId="0" borderId="18" xfId="7" applyFont="1" applyFill="1" applyBorder="1" applyAlignment="1">
      <alignment horizontal="center" vertical="center"/>
    </xf>
    <xf numFmtId="0" fontId="6" fillId="2" borderId="67" xfId="0" applyFont="1" applyFill="1" applyBorder="1" applyAlignment="1">
      <alignment horizontal="left" vertical="center"/>
    </xf>
    <xf numFmtId="0" fontId="6" fillId="2" borderId="29" xfId="0" applyFont="1" applyFill="1" applyBorder="1" applyAlignment="1">
      <alignment horizontal="left" vertical="center"/>
    </xf>
    <xf numFmtId="0" fontId="6" fillId="2" borderId="40"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49" fontId="66" fillId="2" borderId="0" xfId="0" applyNumberFormat="1" applyFont="1" applyFill="1" applyBorder="1" applyAlignment="1">
      <alignment horizontal="left" vertical="center"/>
    </xf>
    <xf numFmtId="0" fontId="66" fillId="2" borderId="10" xfId="0" applyFont="1" applyFill="1" applyBorder="1" applyAlignment="1">
      <alignment horizontal="center" vertical="center"/>
    </xf>
    <xf numFmtId="0" fontId="66" fillId="2" borderId="0" xfId="0" applyFont="1" applyFill="1" applyBorder="1" applyAlignment="1">
      <alignment horizontal="center" vertical="center"/>
    </xf>
    <xf numFmtId="0" fontId="66" fillId="2" borderId="11" xfId="0" applyFont="1" applyFill="1" applyBorder="1" applyAlignment="1">
      <alignment horizontal="center" vertical="center"/>
    </xf>
    <xf numFmtId="0" fontId="66" fillId="0" borderId="31" xfId="0" applyFont="1" applyBorder="1" applyAlignment="1">
      <alignment horizontal="center" vertical="center"/>
    </xf>
    <xf numFmtId="0" fontId="66" fillId="0" borderId="32" xfId="0" applyFont="1" applyBorder="1" applyAlignment="1">
      <alignment horizontal="center" vertical="center"/>
    </xf>
    <xf numFmtId="0" fontId="66" fillId="0" borderId="33" xfId="0" applyFont="1" applyBorder="1" applyAlignment="1">
      <alignment horizontal="center" vertical="center"/>
    </xf>
    <xf numFmtId="0" fontId="66" fillId="2" borderId="12" xfId="0" applyFont="1" applyFill="1" applyBorder="1" applyAlignment="1">
      <alignment horizontal="center" vertical="center"/>
    </xf>
    <xf numFmtId="0" fontId="66" fillId="2" borderId="13" xfId="0" applyFont="1" applyFill="1" applyBorder="1" applyAlignment="1">
      <alignment horizontal="center" vertical="center"/>
    </xf>
    <xf numFmtId="0" fontId="66" fillId="2" borderId="14" xfId="0" applyFont="1" applyFill="1" applyBorder="1" applyAlignment="1">
      <alignment horizontal="center" vertical="center"/>
    </xf>
    <xf numFmtId="49" fontId="67" fillId="2" borderId="0" xfId="0" applyNumberFormat="1" applyFont="1" applyFill="1" applyBorder="1" applyAlignment="1">
      <alignment horizontal="left" vertical="center"/>
    </xf>
    <xf numFmtId="0" fontId="4" fillId="2" borderId="55"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0" borderId="0" xfId="0" applyFont="1" applyAlignment="1">
      <alignment horizontal="left"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8" xfId="0" applyFont="1" applyFill="1" applyBorder="1" applyAlignment="1">
      <alignment horizontal="left" vertical="center"/>
    </xf>
    <xf numFmtId="0" fontId="4" fillId="2" borderId="49" xfId="0" applyFont="1" applyFill="1" applyBorder="1" applyAlignment="1">
      <alignment horizontal="left" vertical="center"/>
    </xf>
    <xf numFmtId="0" fontId="4" fillId="2" borderId="25" xfId="0" applyFont="1" applyFill="1" applyBorder="1" applyAlignment="1">
      <alignment horizontal="left" vertical="center"/>
    </xf>
    <xf numFmtId="0" fontId="66" fillId="2" borderId="16" xfId="0" applyFont="1" applyFill="1" applyBorder="1" applyAlignment="1">
      <alignment horizontal="left" vertical="center"/>
    </xf>
    <xf numFmtId="0" fontId="66" fillId="2" borderId="17" xfId="0" applyFont="1" applyFill="1" applyBorder="1" applyAlignment="1">
      <alignment horizontal="left" vertical="center"/>
    </xf>
    <xf numFmtId="0" fontId="66" fillId="2" borderId="18" xfId="0" applyFont="1" applyFill="1" applyBorder="1" applyAlignment="1">
      <alignment horizontal="left" vertical="center"/>
    </xf>
    <xf numFmtId="0" fontId="58" fillId="0" borderId="0" xfId="0" applyFont="1" applyAlignment="1">
      <alignment horizontal="center" vertical="center"/>
    </xf>
    <xf numFmtId="0" fontId="57" fillId="0" borderId="12" xfId="0" applyFont="1" applyBorder="1" applyAlignment="1">
      <alignment horizontal="center" vertical="center" wrapText="1"/>
    </xf>
    <xf numFmtId="0" fontId="57" fillId="0" borderId="13" xfId="0" applyFont="1" applyBorder="1" applyAlignment="1">
      <alignment horizontal="center" vertical="center"/>
    </xf>
    <xf numFmtId="0" fontId="57" fillId="0" borderId="14" xfId="0" applyFont="1" applyBorder="1" applyAlignment="1">
      <alignment horizontal="center" vertical="center"/>
    </xf>
    <xf numFmtId="0" fontId="57" fillId="0" borderId="10" xfId="0" applyFont="1" applyBorder="1" applyAlignment="1">
      <alignment horizontal="center" vertical="center" wrapText="1"/>
    </xf>
    <xf numFmtId="0" fontId="57" fillId="0" borderId="0" xfId="0" applyFont="1" applyBorder="1" applyAlignment="1">
      <alignment horizontal="center" vertical="center"/>
    </xf>
    <xf numFmtId="0" fontId="57" fillId="0" borderId="11" xfId="0" applyFont="1" applyBorder="1" applyAlignment="1">
      <alignment horizontal="center" vertical="center"/>
    </xf>
    <xf numFmtId="0" fontId="57" fillId="0" borderId="31" xfId="0" applyFont="1" applyBorder="1" applyAlignment="1">
      <alignment horizontal="center" vertical="center" wrapText="1"/>
    </xf>
    <xf numFmtId="0" fontId="57" fillId="0" borderId="32" xfId="0" applyFont="1" applyBorder="1" applyAlignment="1">
      <alignment horizontal="center" vertical="center" wrapText="1"/>
    </xf>
    <xf numFmtId="0" fontId="57" fillId="0" borderId="33" xfId="0" applyFont="1" applyBorder="1" applyAlignment="1">
      <alignment horizontal="center" vertical="center" wrapText="1"/>
    </xf>
    <xf numFmtId="0" fontId="6" fillId="0" borderId="26" xfId="0" applyFont="1" applyBorder="1" applyAlignment="1">
      <alignment horizontal="left" vertical="center" wrapText="1"/>
    </xf>
    <xf numFmtId="0" fontId="6" fillId="0" borderId="24" xfId="0" applyFont="1" applyBorder="1" applyAlignment="1">
      <alignment horizontal="left" vertical="center" wrapText="1"/>
    </xf>
    <xf numFmtId="0" fontId="6" fillId="0" borderId="24" xfId="0" applyFont="1" applyBorder="1" applyAlignment="1">
      <alignment horizontal="left" vertical="center"/>
    </xf>
    <xf numFmtId="0" fontId="6" fillId="0" borderId="55" xfId="0" applyFont="1" applyBorder="1" applyAlignment="1">
      <alignment horizontal="left" vertical="center"/>
    </xf>
    <xf numFmtId="0" fontId="6" fillId="0" borderId="27" xfId="0" applyFont="1" applyBorder="1" applyAlignment="1">
      <alignment horizontal="left" vertical="center"/>
    </xf>
    <xf numFmtId="0" fontId="4" fillId="2" borderId="59" xfId="0" applyFont="1" applyFill="1" applyBorder="1" applyAlignment="1">
      <alignment horizontal="left" vertical="center"/>
    </xf>
    <xf numFmtId="0" fontId="4" fillId="2" borderId="62" xfId="0" applyFont="1" applyFill="1" applyBorder="1" applyAlignment="1">
      <alignment horizontal="left" vertical="center"/>
    </xf>
    <xf numFmtId="0" fontId="4" fillId="2" borderId="69" xfId="0" applyFont="1" applyFill="1" applyBorder="1" applyAlignment="1">
      <alignment horizontal="left" vertical="center"/>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49" fontId="6" fillId="0" borderId="3" xfId="0" applyNumberFormat="1" applyFont="1" applyBorder="1" applyAlignment="1">
      <alignment horizontal="left" vertical="center"/>
    </xf>
    <xf numFmtId="49" fontId="6" fillId="0" borderId="16" xfId="0" applyNumberFormat="1" applyFont="1" applyBorder="1" applyAlignment="1">
      <alignment horizontal="left" vertical="center"/>
    </xf>
    <xf numFmtId="49" fontId="6" fillId="0" borderId="5" xfId="0" applyNumberFormat="1" applyFont="1" applyBorder="1" applyAlignment="1">
      <alignment horizontal="left" vertical="center"/>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175" fontId="6" fillId="0" borderId="1" xfId="0" applyNumberFormat="1" applyFont="1" applyBorder="1" applyAlignment="1">
      <alignment horizontal="left" vertical="center"/>
    </xf>
    <xf numFmtId="175" fontId="6" fillId="0" borderId="20" xfId="0" applyNumberFormat="1" applyFont="1" applyBorder="1" applyAlignment="1">
      <alignment horizontal="left" vertical="center"/>
    </xf>
    <xf numFmtId="175" fontId="6" fillId="0" borderId="6" xfId="0" applyNumberFormat="1" applyFont="1" applyBorder="1" applyAlignment="1">
      <alignment horizontal="left"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13" fillId="0" borderId="63" xfId="0" applyFont="1" applyBorder="1" applyAlignment="1">
      <alignment horizontal="center" vertical="center"/>
    </xf>
    <xf numFmtId="0" fontId="12" fillId="0" borderId="39" xfId="0" applyFont="1" applyBorder="1" applyAlignment="1">
      <alignment horizontal="center" vertical="center"/>
    </xf>
    <xf numFmtId="0" fontId="12" fillId="0" borderId="9" xfId="0" applyFont="1" applyBorder="1" applyAlignment="1">
      <alignment horizontal="center" vertical="center"/>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45" fillId="0" borderId="0" xfId="0" applyFont="1" applyFill="1" applyBorder="1" applyAlignment="1">
      <alignment horizontal="center" vertical="center"/>
    </xf>
    <xf numFmtId="0" fontId="68" fillId="0" borderId="0" xfId="0" applyFont="1" applyAlignment="1">
      <alignment horizontal="center" vertical="center"/>
    </xf>
    <xf numFmtId="173" fontId="23" fillId="0" borderId="3" xfId="0" applyNumberFormat="1" applyFont="1" applyBorder="1" applyAlignment="1">
      <alignment vertical="center"/>
    </xf>
    <xf numFmtId="173" fontId="23" fillId="0" borderId="5" xfId="0" applyNumberFormat="1" applyFont="1" applyBorder="1" applyAlignment="1">
      <alignment vertical="center"/>
    </xf>
    <xf numFmtId="0" fontId="22" fillId="0" borderId="0" xfId="0" applyFont="1" applyBorder="1" applyAlignment="1">
      <alignment horizontal="center" vertical="center"/>
    </xf>
    <xf numFmtId="0" fontId="22" fillId="0" borderId="26" xfId="0" applyFont="1" applyBorder="1" applyAlignment="1">
      <alignment horizontal="center" vertical="center" wrapText="1"/>
    </xf>
    <xf numFmtId="0" fontId="22" fillId="0" borderId="24"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xf>
    <xf numFmtId="3" fontId="23" fillId="0" borderId="55" xfId="0" applyNumberFormat="1" applyFont="1" applyBorder="1" applyAlignment="1">
      <alignment horizontal="center" vertical="center" wrapText="1"/>
    </xf>
    <xf numFmtId="3" fontId="23" fillId="0" borderId="56" xfId="0" applyNumberFormat="1" applyFont="1" applyBorder="1" applyAlignment="1">
      <alignment horizontal="center" vertical="center" wrapText="1"/>
    </xf>
    <xf numFmtId="3" fontId="41" fillId="0" borderId="1" xfId="0" applyNumberFormat="1" applyFont="1" applyBorder="1" applyAlignment="1">
      <alignment vertical="center"/>
    </xf>
    <xf numFmtId="173" fontId="14" fillId="0" borderId="20" xfId="0" applyNumberFormat="1" applyFont="1" applyBorder="1" applyAlignment="1">
      <alignment vertical="center"/>
    </xf>
    <xf numFmtId="173" fontId="14" fillId="0" borderId="37" xfId="0" applyNumberFormat="1" applyFont="1" applyBorder="1" applyAlignment="1">
      <alignment vertical="center"/>
    </xf>
    <xf numFmtId="173" fontId="26" fillId="0" borderId="16" xfId="0" applyNumberFormat="1" applyFont="1" applyBorder="1" applyAlignment="1">
      <alignment vertical="center"/>
    </xf>
    <xf numFmtId="173" fontId="26" fillId="0" borderId="19" xfId="0" applyNumberFormat="1" applyFont="1" applyBorder="1" applyAlignment="1">
      <alignment vertical="center"/>
    </xf>
    <xf numFmtId="0" fontId="23" fillId="0" borderId="3" xfId="0" applyFont="1" applyBorder="1" applyAlignment="1">
      <alignment horizontal="left" vertical="center"/>
    </xf>
    <xf numFmtId="0" fontId="48" fillId="0" borderId="12" xfId="0" applyFont="1" applyBorder="1" applyAlignment="1">
      <alignment horizontal="center" vertical="center"/>
    </xf>
    <xf numFmtId="0" fontId="14" fillId="0" borderId="13" xfId="0" applyFont="1" applyBorder="1" applyAlignment="1">
      <alignment horizontal="center" vertical="center"/>
    </xf>
    <xf numFmtId="0" fontId="58" fillId="0" borderId="10" xfId="0" applyFont="1" applyBorder="1" applyAlignment="1">
      <alignment horizontal="center" vertical="center"/>
    </xf>
    <xf numFmtId="0" fontId="58" fillId="0" borderId="0" xfId="0" applyFont="1" applyBorder="1" applyAlignment="1">
      <alignment horizontal="center" vertical="center"/>
    </xf>
    <xf numFmtId="173" fontId="22" fillId="0" borderId="20" xfId="0" applyNumberFormat="1" applyFont="1" applyBorder="1" applyAlignment="1">
      <alignment horizontal="right" vertical="center"/>
    </xf>
    <xf numFmtId="0" fontId="0" fillId="0" borderId="37" xfId="0" applyBorder="1" applyAlignment="1">
      <alignment vertical="center"/>
    </xf>
    <xf numFmtId="173" fontId="14" fillId="0" borderId="16" xfId="0" applyNumberFormat="1" applyFont="1" applyBorder="1" applyAlignment="1">
      <alignment horizontal="right" vertical="center"/>
    </xf>
    <xf numFmtId="0" fontId="6" fillId="0" borderId="19" xfId="0" applyFont="1" applyBorder="1" applyAlignment="1">
      <alignment vertical="center"/>
    </xf>
    <xf numFmtId="173" fontId="23" fillId="0" borderId="16" xfId="0" applyNumberFormat="1" applyFont="1" applyBorder="1" applyAlignment="1">
      <alignment horizontal="right" vertical="center"/>
    </xf>
    <xf numFmtId="0" fontId="0" fillId="0" borderId="19" xfId="0" applyBorder="1" applyAlignment="1">
      <alignment vertical="center"/>
    </xf>
    <xf numFmtId="0" fontId="22" fillId="0" borderId="20"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0" fillId="0" borderId="5" xfId="0" applyBorder="1" applyAlignment="1">
      <alignment vertical="center"/>
    </xf>
    <xf numFmtId="0" fontId="22" fillId="0" borderId="1" xfId="0" applyFont="1" applyBorder="1" applyAlignment="1">
      <alignment vertical="center"/>
    </xf>
    <xf numFmtId="173" fontId="22" fillId="0" borderId="1" xfId="0" applyNumberFormat="1" applyFont="1" applyBorder="1" applyAlignment="1">
      <alignment vertical="center"/>
    </xf>
    <xf numFmtId="0" fontId="0" fillId="0" borderId="6" xfId="0" applyBorder="1" applyAlignment="1">
      <alignment vertical="center"/>
    </xf>
    <xf numFmtId="0" fontId="22" fillId="0" borderId="45" xfId="0" applyFont="1" applyBorder="1" applyAlignment="1">
      <alignment horizontal="center" vertical="center" textRotation="90"/>
    </xf>
    <xf numFmtId="0" fontId="22" fillId="0" borderId="35" xfId="0" applyFont="1" applyBorder="1" applyAlignment="1">
      <alignment horizontal="center" vertical="center" textRotation="90"/>
    </xf>
    <xf numFmtId="173" fontId="23" fillId="0" borderId="55" xfId="0" applyNumberFormat="1" applyFont="1" applyBorder="1" applyAlignment="1">
      <alignment horizontal="right" vertical="center"/>
    </xf>
    <xf numFmtId="0" fontId="0" fillId="0" borderId="56" xfId="0" applyBorder="1" applyAlignment="1">
      <alignment vertical="center"/>
    </xf>
    <xf numFmtId="0" fontId="23" fillId="0" borderId="3" xfId="0" applyFont="1" applyBorder="1" applyAlignment="1">
      <alignment horizontal="left" vertical="center" wrapText="1"/>
    </xf>
    <xf numFmtId="0" fontId="23" fillId="0" borderId="3" xfId="0" applyFont="1" applyBorder="1" applyAlignment="1">
      <alignment vertical="center"/>
    </xf>
    <xf numFmtId="0" fontId="23" fillId="0" borderId="24" xfId="0" applyFont="1" applyBorder="1" applyAlignment="1">
      <alignment horizontal="left" vertical="center"/>
    </xf>
    <xf numFmtId="0" fontId="23" fillId="0" borderId="5" xfId="0" applyFont="1" applyBorder="1" applyAlignment="1">
      <alignment vertical="center"/>
    </xf>
    <xf numFmtId="0" fontId="14" fillId="0" borderId="3" xfId="0" applyFont="1" applyBorder="1" applyAlignment="1">
      <alignment vertical="center"/>
    </xf>
    <xf numFmtId="173" fontId="14" fillId="0" borderId="3" xfId="0" applyNumberFormat="1" applyFont="1" applyBorder="1" applyAlignment="1">
      <alignment vertical="center"/>
    </xf>
    <xf numFmtId="0" fontId="6" fillId="0" borderId="5" xfId="0" applyFont="1" applyBorder="1" applyAlignment="1">
      <alignment vertical="center"/>
    </xf>
    <xf numFmtId="173" fontId="14" fillId="0" borderId="3" xfId="0" applyNumberFormat="1" applyFont="1" applyBorder="1" applyAlignment="1">
      <alignment horizontal="right" vertical="center"/>
    </xf>
    <xf numFmtId="0" fontId="46" fillId="0" borderId="12"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14" xfId="0" applyFont="1" applyBorder="1" applyAlignment="1">
      <alignment horizontal="center" vertical="center" shrinkToFit="1"/>
    </xf>
    <xf numFmtId="173" fontId="23" fillId="0" borderId="3" xfId="0" applyNumberFormat="1" applyFont="1" applyBorder="1" applyAlignment="1">
      <alignment horizontal="right" vertical="center"/>
    </xf>
    <xf numFmtId="0" fontId="12" fillId="0" borderId="5" xfId="0" applyFont="1" applyBorder="1" applyAlignment="1">
      <alignment vertical="center"/>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8" fillId="0" borderId="0" xfId="0" applyFont="1" applyBorder="1" applyAlignment="1">
      <alignment horizontal="left"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3" fontId="14" fillId="0" borderId="0" xfId="0" applyNumberFormat="1" applyFont="1" applyBorder="1" applyAlignment="1">
      <alignment horizontal="center" vertical="center"/>
    </xf>
    <xf numFmtId="3" fontId="14" fillId="0" borderId="11" xfId="0" applyNumberFormat="1"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3" fontId="23" fillId="0" borderId="0" xfId="0" applyNumberFormat="1" applyFont="1" applyBorder="1" applyAlignment="1">
      <alignment horizontal="center" vertical="center"/>
    </xf>
    <xf numFmtId="3" fontId="23" fillId="0" borderId="11" xfId="0" applyNumberFormat="1"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48" fillId="0" borderId="0"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14" fillId="0" borderId="28" xfId="0" quotePrefix="1" applyFont="1" applyBorder="1" applyAlignment="1">
      <alignment horizontal="center" vertical="center" wrapText="1"/>
    </xf>
    <xf numFmtId="0" fontId="14" fillId="0" borderId="29" xfId="0" applyFont="1" applyBorder="1" applyAlignment="1">
      <alignment horizontal="center" vertical="center"/>
    </xf>
    <xf numFmtId="0" fontId="14" fillId="0" borderId="14" xfId="0" applyFont="1" applyBorder="1" applyAlignment="1">
      <alignment horizontal="center" vertical="center"/>
    </xf>
    <xf numFmtId="0" fontId="45" fillId="0" borderId="0" xfId="0" applyFont="1" applyAlignment="1">
      <alignment horizontal="center" vertical="center"/>
    </xf>
    <xf numFmtId="0" fontId="14" fillId="0" borderId="12"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42" fillId="0" borderId="0" xfId="4" applyFont="1" applyAlignment="1">
      <alignment horizontal="center" vertical="center"/>
    </xf>
    <xf numFmtId="0" fontId="4" fillId="0" borderId="0" xfId="4" applyFont="1" applyAlignment="1">
      <alignment horizontal="center" vertical="center"/>
    </xf>
    <xf numFmtId="0" fontId="4" fillId="0" borderId="0" xfId="4" applyFont="1" applyAlignment="1">
      <alignment horizontal="left" vertical="center" wrapText="1"/>
    </xf>
    <xf numFmtId="0" fontId="7" fillId="0" borderId="0" xfId="4" applyFont="1" applyAlignment="1">
      <alignment horizontal="left" vertical="center" wrapText="1"/>
    </xf>
    <xf numFmtId="0" fontId="4" fillId="0" borderId="0" xfId="4" applyFont="1" applyAlignment="1">
      <alignment vertical="center" wrapText="1"/>
    </xf>
    <xf numFmtId="0" fontId="4" fillId="0" borderId="0" xfId="4" applyFont="1" applyAlignment="1">
      <alignment horizontal="center" vertical="center" wrapText="1"/>
    </xf>
    <xf numFmtId="0" fontId="7" fillId="0" borderId="0" xfId="4" applyFont="1" applyAlignment="1">
      <alignment horizontal="center" vertical="center" wrapText="1"/>
    </xf>
    <xf numFmtId="0" fontId="4" fillId="0" borderId="0" xfId="4" applyFont="1" applyAlignment="1">
      <alignment horizontal="center" vertical="top" wrapText="1"/>
    </xf>
    <xf numFmtId="0" fontId="14" fillId="0" borderId="0" xfId="4" applyFont="1" applyAlignment="1">
      <alignment horizontal="center" vertical="center"/>
    </xf>
    <xf numFmtId="0" fontId="14" fillId="0" borderId="0" xfId="4" applyFont="1" applyAlignment="1">
      <alignment horizontal="center" vertical="center" wrapText="1"/>
    </xf>
    <xf numFmtId="0" fontId="42" fillId="0" borderId="0" xfId="4" applyFont="1" applyAlignment="1">
      <alignment horizontal="center" vertical="center" wrapText="1"/>
    </xf>
    <xf numFmtId="0" fontId="4" fillId="0" borderId="0" xfId="4" applyFont="1" applyAlignment="1">
      <alignment horizontal="left" vertical="top" wrapText="1"/>
    </xf>
  </cellXfs>
  <cellStyles count="8">
    <cellStyle name="Köprü" xfId="1" builtinId="8"/>
    <cellStyle name="Normal" xfId="0" builtinId="0"/>
    <cellStyle name="Normal 2" xfId="4"/>
    <cellStyle name="Normal 3" xfId="5"/>
    <cellStyle name="Normal 4" xfId="6"/>
    <cellStyle name="Normal 5" xfId="7"/>
    <cellStyle name="Normal_kes 2002" xfId="2"/>
    <cellStyle name="Virgül [0]_Hakediş Raporu"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0</xdr:row>
      <xdr:rowOff>0</xdr:rowOff>
    </xdr:from>
    <xdr:to>
      <xdr:col>10</xdr:col>
      <xdr:colOff>9525</xdr:colOff>
      <xdr:row>0</xdr:row>
      <xdr:rowOff>0</xdr:rowOff>
    </xdr:to>
    <xdr:sp macro="" textlink="">
      <xdr:nvSpPr>
        <xdr:cNvPr id="4097" name="Text Box 1"/>
        <xdr:cNvSpPr txBox="1">
          <a:spLocks noChangeArrowheads="1"/>
        </xdr:cNvSpPr>
      </xdr:nvSpPr>
      <xdr:spPr bwMode="auto">
        <a:xfrm>
          <a:off x="9525" y="0"/>
          <a:ext cx="6600825" cy="0"/>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1">
            <a:defRPr sz="1000"/>
          </a:pPr>
          <a:r>
            <a:rPr lang="tr-TR" sz="1000" b="1" i="0" strike="noStrike">
              <a:solidFill>
                <a:srgbClr val="000000"/>
              </a:solidFill>
              <a:latin typeface="Arial"/>
              <a:cs typeface="Arial"/>
            </a:rPr>
            <a:t>                          </a:t>
          </a:r>
        </a:p>
        <a:p>
          <a:pPr algn="ctr" rtl="1">
            <a:defRPr sz="1000"/>
          </a:pPr>
          <a:r>
            <a:rPr lang="tr-TR" sz="1200" b="1" i="0" strike="noStrike">
              <a:solidFill>
                <a:srgbClr val="000000"/>
              </a:solidFill>
              <a:latin typeface="Arial"/>
              <a:cs typeface="Arial"/>
            </a:rPr>
            <a:t> HAKEDİŞ ÖZETi </a:t>
          </a:r>
          <a:r>
            <a:rPr lang="tr-TR" sz="1000" b="1" i="0" strike="noStrike">
              <a:solidFill>
                <a:srgbClr val="000000"/>
              </a:solidFill>
              <a:latin typeface="Arial"/>
              <a:cs typeface="Arial"/>
            </a:rPr>
            <a:t>                 </a:t>
          </a:r>
        </a:p>
        <a:p>
          <a:pPr algn="ctr" rtl="1">
            <a:defRPr sz="1000"/>
          </a:pPr>
          <a:endParaRPr lang="tr-TR" sz="1000" b="1" i="0" strike="noStrike">
            <a:solidFill>
              <a:srgbClr val="000000"/>
            </a:solidFill>
            <a:latin typeface="Arial"/>
            <a:cs typeface="Arial"/>
          </a:endParaRPr>
        </a:p>
        <a:p>
          <a:pPr algn="ctr" rtl="1">
            <a:defRPr sz="1000"/>
          </a:pPr>
          <a:r>
            <a:rPr lang="tr-TR" sz="1000" b="1" i="0" strike="noStrike">
              <a:solidFill>
                <a:srgbClr val="000000"/>
              </a:solidFill>
              <a:latin typeface="Arial"/>
              <a:cs typeface="Arial"/>
            </a:rPr>
            <a:t>                                                                                                                                              </a:t>
          </a:r>
        </a:p>
      </xdr:txBody>
    </xdr:sp>
    <xdr:clientData/>
  </xdr:twoCellAnchor>
  <xdr:twoCellAnchor>
    <xdr:from>
      <xdr:col>10</xdr:col>
      <xdr:colOff>9525</xdr:colOff>
      <xdr:row>0</xdr:row>
      <xdr:rowOff>0</xdr:rowOff>
    </xdr:from>
    <xdr:to>
      <xdr:col>12</xdr:col>
      <xdr:colOff>0</xdr:colOff>
      <xdr:row>0</xdr:row>
      <xdr:rowOff>0</xdr:rowOff>
    </xdr:to>
    <xdr:sp macro="" textlink="">
      <xdr:nvSpPr>
        <xdr:cNvPr id="4098" name="Text Box 2"/>
        <xdr:cNvSpPr txBox="1">
          <a:spLocks noChangeArrowheads="1"/>
        </xdr:cNvSpPr>
      </xdr:nvSpPr>
      <xdr:spPr bwMode="auto">
        <a:xfrm>
          <a:off x="6610350" y="0"/>
          <a:ext cx="213360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tr-TR" sz="1000" b="0" i="0" strike="noStrike">
              <a:solidFill>
                <a:srgbClr val="000000"/>
              </a:solidFill>
              <a:latin typeface="Arial"/>
              <a:cs typeface="Arial"/>
            </a:rPr>
            <a:t>Hakediş Tarihi : 30.07.2003</a:t>
          </a:r>
        </a:p>
        <a:p>
          <a:pPr algn="l" rtl="1">
            <a:defRPr sz="1000"/>
          </a:pPr>
          <a:endParaRPr lang="tr-TR" sz="1000" b="0" i="0" strike="noStrike">
            <a:solidFill>
              <a:srgbClr val="000000"/>
            </a:solidFill>
            <a:latin typeface="Arial"/>
            <a:cs typeface="Arial"/>
          </a:endParaRPr>
        </a:p>
        <a:p>
          <a:pPr algn="l" rtl="1">
            <a:defRPr sz="1000"/>
          </a:pPr>
          <a:r>
            <a:rPr lang="tr-TR" sz="1000" b="1" i="0" strike="noStrike">
              <a:solidFill>
                <a:srgbClr val="000000"/>
              </a:solidFill>
              <a:latin typeface="Arial"/>
              <a:cs typeface="Arial"/>
            </a:rPr>
            <a:t>Hakediş No: 3</a:t>
          </a:r>
        </a:p>
      </xdr:txBody>
    </xdr:sp>
    <xdr:clientData/>
  </xdr:twoCellAnchor>
  <xdr:twoCellAnchor>
    <xdr:from>
      <xdr:col>2</xdr:col>
      <xdr:colOff>9525</xdr:colOff>
      <xdr:row>0</xdr:row>
      <xdr:rowOff>0</xdr:rowOff>
    </xdr:from>
    <xdr:to>
      <xdr:col>10</xdr:col>
      <xdr:colOff>9525</xdr:colOff>
      <xdr:row>0</xdr:row>
      <xdr:rowOff>0</xdr:rowOff>
    </xdr:to>
    <xdr:sp macro="" textlink="">
      <xdr:nvSpPr>
        <xdr:cNvPr id="4099" name="Text Box 3"/>
        <xdr:cNvSpPr txBox="1">
          <a:spLocks noChangeArrowheads="1"/>
        </xdr:cNvSpPr>
      </xdr:nvSpPr>
      <xdr:spPr bwMode="auto">
        <a:xfrm>
          <a:off x="9525" y="0"/>
          <a:ext cx="6600825" cy="0"/>
        </a:xfrm>
        <a:prstGeom prst="rect">
          <a:avLst/>
        </a:prstGeom>
        <a:noFill/>
        <a:ln w="9525">
          <a:solidFill>
            <a:srgbClr val="000000"/>
          </a:solidFill>
          <a:miter lim="800000"/>
          <a:headEnd/>
          <a:tailEnd/>
        </a:ln>
      </xdr:spPr>
      <xdr:txBody>
        <a:bodyPr vertOverflow="clip" wrap="square" lIns="27432" tIns="22860" rIns="0" bIns="0" anchor="t" upright="1"/>
        <a:lstStyle/>
        <a:p>
          <a:pPr algn="l" rtl="1">
            <a:defRPr sz="1000"/>
          </a:pPr>
          <a:r>
            <a:rPr lang="tr-TR" sz="1000" b="1" i="0" strike="noStrike">
              <a:solidFill>
                <a:srgbClr val="000000"/>
              </a:solidFill>
              <a:latin typeface="Arial"/>
              <a:cs typeface="Arial"/>
            </a:rPr>
            <a:t>                          </a:t>
          </a:r>
        </a:p>
        <a:p>
          <a:pPr algn="l" rtl="1">
            <a:defRPr sz="1000"/>
          </a:pPr>
          <a:r>
            <a:rPr lang="tr-TR" sz="1200" b="1" i="0" strike="noStrike">
              <a:solidFill>
                <a:srgbClr val="000000"/>
              </a:solidFill>
              <a:latin typeface="Arial"/>
              <a:cs typeface="Arial"/>
            </a:rPr>
            <a:t> </a:t>
          </a:r>
          <a:r>
            <a:rPr lang="tr-TR" sz="1000" b="0" i="0" strike="noStrike">
              <a:solidFill>
                <a:srgbClr val="000000"/>
              </a:solidFill>
              <a:latin typeface="Arial"/>
              <a:cs typeface="Arial"/>
            </a:rPr>
            <a:t>…………………………………………………………………….…….İnşaatı Hakediş özeti            </a:t>
          </a:r>
        </a:p>
        <a:p>
          <a:pPr algn="l" rtl="1">
            <a:defRPr sz="1000"/>
          </a:pPr>
          <a:endParaRPr lang="tr-TR" sz="1000" b="1" i="0" strike="noStrike">
            <a:solidFill>
              <a:srgbClr val="000000"/>
            </a:solidFill>
            <a:latin typeface="Arial"/>
            <a:cs typeface="Arial"/>
          </a:endParaRPr>
        </a:p>
        <a:p>
          <a:pPr algn="l" rtl="1">
            <a:defRPr sz="1000"/>
          </a:pPr>
          <a:r>
            <a:rPr lang="tr-TR" sz="1000" b="1" i="0" strike="noStrike">
              <a:solidFill>
                <a:srgbClr val="000000"/>
              </a:solidFill>
              <a:latin typeface="Arial"/>
              <a:cs typeface="Arial"/>
            </a:rPr>
            <a:t>                                                                                                                                              </a:t>
          </a:r>
        </a:p>
      </xdr:txBody>
    </xdr:sp>
    <xdr:clientData/>
  </xdr:twoCellAnchor>
  <xdr:twoCellAnchor>
    <xdr:from>
      <xdr:col>10</xdr:col>
      <xdr:colOff>9525</xdr:colOff>
      <xdr:row>0</xdr:row>
      <xdr:rowOff>0</xdr:rowOff>
    </xdr:from>
    <xdr:to>
      <xdr:col>12</xdr:col>
      <xdr:colOff>0</xdr:colOff>
      <xdr:row>0</xdr:row>
      <xdr:rowOff>0</xdr:rowOff>
    </xdr:to>
    <xdr:sp macro="" textlink="">
      <xdr:nvSpPr>
        <xdr:cNvPr id="4100" name="Text Box 4"/>
        <xdr:cNvSpPr txBox="1">
          <a:spLocks noChangeArrowheads="1"/>
        </xdr:cNvSpPr>
      </xdr:nvSpPr>
      <xdr:spPr bwMode="auto">
        <a:xfrm>
          <a:off x="6610350" y="0"/>
          <a:ext cx="213360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tr-TR" sz="1000" b="0" i="0" strike="noStrike">
              <a:solidFill>
                <a:srgbClr val="000000"/>
              </a:solidFill>
              <a:latin typeface="Arial"/>
              <a:cs typeface="Arial"/>
            </a:rPr>
            <a:t>Hakediş Tarihi : 30.06.2003</a:t>
          </a:r>
        </a:p>
        <a:p>
          <a:pPr algn="l" rtl="1">
            <a:defRPr sz="1000"/>
          </a:pPr>
          <a:endParaRPr lang="tr-TR" sz="1000" b="0" i="0" strike="noStrike">
            <a:solidFill>
              <a:srgbClr val="000000"/>
            </a:solidFill>
            <a:latin typeface="Arial"/>
            <a:cs typeface="Arial"/>
          </a:endParaRPr>
        </a:p>
        <a:p>
          <a:pPr algn="l" rtl="1">
            <a:defRPr sz="1000"/>
          </a:pPr>
          <a:r>
            <a:rPr lang="tr-TR" sz="1000" b="1" i="0" strike="noStrike">
              <a:solidFill>
                <a:srgbClr val="000000"/>
              </a:solidFill>
              <a:latin typeface="Arial"/>
              <a:cs typeface="Arial"/>
            </a:rPr>
            <a:t>Hakediş No: 2</a:t>
          </a:r>
        </a:p>
      </xdr:txBody>
    </xdr:sp>
    <xdr:clientData/>
  </xdr:twoCellAnchor>
  <xdr:twoCellAnchor>
    <xdr:from>
      <xdr:col>2</xdr:col>
      <xdr:colOff>9525</xdr:colOff>
      <xdr:row>0</xdr:row>
      <xdr:rowOff>0</xdr:rowOff>
    </xdr:from>
    <xdr:to>
      <xdr:col>10</xdr:col>
      <xdr:colOff>9525</xdr:colOff>
      <xdr:row>0</xdr:row>
      <xdr:rowOff>0</xdr:rowOff>
    </xdr:to>
    <xdr:sp macro="" textlink="">
      <xdr:nvSpPr>
        <xdr:cNvPr id="4101" name="Text Box 5"/>
        <xdr:cNvSpPr txBox="1">
          <a:spLocks noChangeArrowheads="1"/>
        </xdr:cNvSpPr>
      </xdr:nvSpPr>
      <xdr:spPr bwMode="auto">
        <a:xfrm>
          <a:off x="9525" y="0"/>
          <a:ext cx="6600825" cy="0"/>
        </a:xfrm>
        <a:prstGeom prst="rect">
          <a:avLst/>
        </a:prstGeom>
        <a:noFill/>
        <a:ln w="9525">
          <a:solidFill>
            <a:srgbClr val="000000"/>
          </a:solidFill>
          <a:miter lim="800000"/>
          <a:headEnd/>
          <a:tailEnd/>
        </a:ln>
      </xdr:spPr>
      <xdr:txBody>
        <a:bodyPr vertOverflow="clip" wrap="square" lIns="27432" tIns="22860" rIns="0" bIns="0" anchor="t" upright="1"/>
        <a:lstStyle/>
        <a:p>
          <a:pPr algn="l" rtl="1">
            <a:defRPr sz="1000"/>
          </a:pPr>
          <a:r>
            <a:rPr lang="tr-TR" sz="1000" b="1" i="0" strike="noStrike">
              <a:solidFill>
                <a:srgbClr val="000000"/>
              </a:solidFill>
              <a:latin typeface="Arial"/>
              <a:cs typeface="Arial"/>
            </a:rPr>
            <a:t>                          </a:t>
          </a:r>
        </a:p>
        <a:p>
          <a:pPr algn="l" rtl="1">
            <a:defRPr sz="1000"/>
          </a:pPr>
          <a:r>
            <a:rPr lang="tr-TR" sz="1200" b="1" i="0" strike="noStrike">
              <a:solidFill>
                <a:srgbClr val="000000"/>
              </a:solidFill>
              <a:latin typeface="Arial"/>
              <a:cs typeface="Arial"/>
            </a:rPr>
            <a:t> </a:t>
          </a:r>
          <a:r>
            <a:rPr lang="tr-TR" sz="1000" b="0" i="0" strike="noStrike">
              <a:solidFill>
                <a:srgbClr val="000000"/>
              </a:solidFill>
              <a:latin typeface="Arial"/>
              <a:cs typeface="Arial"/>
            </a:rPr>
            <a:t>…………………………………………………………………….…….İnşaatı Hakediş özeti            </a:t>
          </a:r>
        </a:p>
        <a:p>
          <a:pPr algn="l" rtl="1">
            <a:defRPr sz="1000"/>
          </a:pPr>
          <a:endParaRPr lang="tr-TR" sz="1000" b="1" i="0" strike="noStrike">
            <a:solidFill>
              <a:srgbClr val="000000"/>
            </a:solidFill>
            <a:latin typeface="Arial"/>
            <a:cs typeface="Arial"/>
          </a:endParaRPr>
        </a:p>
        <a:p>
          <a:pPr algn="l" rtl="1">
            <a:defRPr sz="1000"/>
          </a:pPr>
          <a:r>
            <a:rPr lang="tr-TR" sz="1000" b="1" i="0" strike="noStrike">
              <a:solidFill>
                <a:srgbClr val="000000"/>
              </a:solidFill>
              <a:latin typeface="Arial"/>
              <a:cs typeface="Arial"/>
            </a:rPr>
            <a:t>                                                                                                                                              </a:t>
          </a:r>
        </a:p>
      </xdr:txBody>
    </xdr:sp>
    <xdr:clientData/>
  </xdr:twoCellAnchor>
  <xdr:twoCellAnchor>
    <xdr:from>
      <xdr:col>10</xdr:col>
      <xdr:colOff>9525</xdr:colOff>
      <xdr:row>0</xdr:row>
      <xdr:rowOff>0</xdr:rowOff>
    </xdr:from>
    <xdr:to>
      <xdr:col>12</xdr:col>
      <xdr:colOff>0</xdr:colOff>
      <xdr:row>0</xdr:row>
      <xdr:rowOff>0</xdr:rowOff>
    </xdr:to>
    <xdr:sp macro="" textlink="">
      <xdr:nvSpPr>
        <xdr:cNvPr id="4102" name="Text Box 6"/>
        <xdr:cNvSpPr txBox="1">
          <a:spLocks noChangeArrowheads="1"/>
        </xdr:cNvSpPr>
      </xdr:nvSpPr>
      <xdr:spPr bwMode="auto">
        <a:xfrm>
          <a:off x="6610350" y="0"/>
          <a:ext cx="213360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tr-TR" sz="1000" b="0" i="0" strike="noStrike">
              <a:solidFill>
                <a:srgbClr val="000000"/>
              </a:solidFill>
              <a:latin typeface="Arial"/>
              <a:cs typeface="Arial"/>
            </a:rPr>
            <a:t>Hakediş Tarihi : 30.07.2003</a:t>
          </a:r>
        </a:p>
        <a:p>
          <a:pPr algn="l" rtl="1">
            <a:defRPr sz="1000"/>
          </a:pPr>
          <a:endParaRPr lang="tr-TR" sz="1000" b="0" i="0" strike="noStrike">
            <a:solidFill>
              <a:srgbClr val="000000"/>
            </a:solidFill>
            <a:latin typeface="Arial"/>
            <a:cs typeface="Arial"/>
          </a:endParaRPr>
        </a:p>
        <a:p>
          <a:pPr algn="l" rtl="1">
            <a:defRPr sz="1000"/>
          </a:pPr>
          <a:r>
            <a:rPr lang="tr-TR" sz="1000" b="1" i="0" strike="noStrike">
              <a:solidFill>
                <a:srgbClr val="000000"/>
              </a:solidFill>
              <a:latin typeface="Arial"/>
              <a:cs typeface="Arial"/>
            </a:rPr>
            <a:t>Hakediş No: 3</a:t>
          </a:r>
        </a:p>
      </xdr:txBody>
    </xdr:sp>
    <xdr:clientData/>
  </xdr:twoCellAnchor>
  <xdr:twoCellAnchor>
    <xdr:from>
      <xdr:col>4</xdr:col>
      <xdr:colOff>228600</xdr:colOff>
      <xdr:row>0</xdr:row>
      <xdr:rowOff>0</xdr:rowOff>
    </xdr:from>
    <xdr:to>
      <xdr:col>6</xdr:col>
      <xdr:colOff>9525</xdr:colOff>
      <xdr:row>0</xdr:row>
      <xdr:rowOff>0</xdr:rowOff>
    </xdr:to>
    <xdr:sp macro="" textlink="">
      <xdr:nvSpPr>
        <xdr:cNvPr id="4103" name="AutoShape 7"/>
        <xdr:cNvSpPr>
          <a:spLocks noChangeArrowheads="1"/>
        </xdr:cNvSpPr>
      </xdr:nvSpPr>
      <xdr:spPr bwMode="auto">
        <a:xfrm>
          <a:off x="1485900" y="0"/>
          <a:ext cx="1657350" cy="0"/>
        </a:xfrm>
        <a:prstGeom prst="wedgeEllipseCallout">
          <a:avLst>
            <a:gd name="adj1" fmla="val 12843"/>
            <a:gd name="adj2" fmla="val -97778"/>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tr-TR" sz="800" b="0" i="0" strike="noStrike">
              <a:solidFill>
                <a:srgbClr val="000000"/>
              </a:solidFill>
              <a:latin typeface="Arial"/>
              <a:cs typeface="Arial"/>
            </a:rPr>
            <a:t>Bir önceki hakediş sayfasının ( c ) toplam imalat tutarı sütunun alt TOPLAM ı alınacaktır</a:t>
          </a:r>
        </a:p>
      </xdr:txBody>
    </xdr:sp>
    <xdr:clientData/>
  </xdr:twoCellAnchor>
  <xdr:twoCellAnchor>
    <xdr:from>
      <xdr:col>2</xdr:col>
      <xdr:colOff>9525</xdr:colOff>
      <xdr:row>0</xdr:row>
      <xdr:rowOff>0</xdr:rowOff>
    </xdr:from>
    <xdr:to>
      <xdr:col>10</xdr:col>
      <xdr:colOff>9525</xdr:colOff>
      <xdr:row>0</xdr:row>
      <xdr:rowOff>0</xdr:rowOff>
    </xdr:to>
    <xdr:sp macro="" textlink="">
      <xdr:nvSpPr>
        <xdr:cNvPr id="4104" name="Text Box 8"/>
        <xdr:cNvSpPr txBox="1">
          <a:spLocks noChangeArrowheads="1"/>
        </xdr:cNvSpPr>
      </xdr:nvSpPr>
      <xdr:spPr bwMode="auto">
        <a:xfrm>
          <a:off x="9525" y="0"/>
          <a:ext cx="6600825" cy="0"/>
        </a:xfrm>
        <a:prstGeom prst="rect">
          <a:avLst/>
        </a:prstGeom>
        <a:solidFill>
          <a:srgbClr val="C0C0C0"/>
        </a:solidFill>
        <a:ln w="9525">
          <a:solidFill>
            <a:srgbClr val="000000"/>
          </a:solidFill>
          <a:miter lim="800000"/>
          <a:headEnd/>
          <a:tailEnd/>
        </a:ln>
      </xdr:spPr>
      <xdr:txBody>
        <a:bodyPr vertOverflow="clip" wrap="square" lIns="27432" tIns="22860" rIns="27432" bIns="0" anchor="t" upright="1"/>
        <a:lstStyle/>
        <a:p>
          <a:pPr algn="ctr" rtl="1">
            <a:defRPr sz="1000"/>
          </a:pPr>
          <a:r>
            <a:rPr lang="tr-TR" sz="1000" b="1" i="0" strike="noStrike">
              <a:solidFill>
                <a:srgbClr val="000000"/>
              </a:solidFill>
              <a:latin typeface="Arial"/>
              <a:cs typeface="Arial"/>
            </a:rPr>
            <a:t>                          </a:t>
          </a:r>
        </a:p>
        <a:p>
          <a:pPr algn="ctr" rtl="1">
            <a:defRPr sz="1000"/>
          </a:pPr>
          <a:r>
            <a:rPr lang="tr-TR" sz="1200" b="1" i="0" strike="noStrike">
              <a:solidFill>
                <a:srgbClr val="000000"/>
              </a:solidFill>
              <a:latin typeface="Arial"/>
              <a:cs typeface="Arial"/>
            </a:rPr>
            <a:t> HAKEDİŞ ÖZETi </a:t>
          </a:r>
          <a:r>
            <a:rPr lang="tr-TR" sz="1000" b="1" i="0" strike="noStrike">
              <a:solidFill>
                <a:srgbClr val="000000"/>
              </a:solidFill>
              <a:latin typeface="Arial"/>
              <a:cs typeface="Arial"/>
            </a:rPr>
            <a:t>                 </a:t>
          </a:r>
        </a:p>
        <a:p>
          <a:pPr algn="ctr" rtl="1">
            <a:defRPr sz="1000"/>
          </a:pPr>
          <a:endParaRPr lang="tr-TR" sz="1000" b="1" i="0" strike="noStrike">
            <a:solidFill>
              <a:srgbClr val="000000"/>
            </a:solidFill>
            <a:latin typeface="Arial"/>
            <a:cs typeface="Arial"/>
          </a:endParaRPr>
        </a:p>
        <a:p>
          <a:pPr algn="ctr" rtl="1">
            <a:defRPr sz="1000"/>
          </a:pPr>
          <a:r>
            <a:rPr lang="tr-TR" sz="1000" b="1" i="0" strike="noStrike">
              <a:solidFill>
                <a:srgbClr val="000000"/>
              </a:solidFill>
              <a:latin typeface="Arial"/>
              <a:cs typeface="Arial"/>
            </a:rPr>
            <a:t>                                                                                                                                              </a:t>
          </a:r>
        </a:p>
      </xdr:txBody>
    </xdr:sp>
    <xdr:clientData/>
  </xdr:twoCellAnchor>
  <xdr:twoCellAnchor>
    <xdr:from>
      <xdr:col>10</xdr:col>
      <xdr:colOff>9525</xdr:colOff>
      <xdr:row>0</xdr:row>
      <xdr:rowOff>0</xdr:rowOff>
    </xdr:from>
    <xdr:to>
      <xdr:col>12</xdr:col>
      <xdr:colOff>0</xdr:colOff>
      <xdr:row>0</xdr:row>
      <xdr:rowOff>0</xdr:rowOff>
    </xdr:to>
    <xdr:sp macro="" textlink="">
      <xdr:nvSpPr>
        <xdr:cNvPr id="4105" name="Text Box 9"/>
        <xdr:cNvSpPr txBox="1">
          <a:spLocks noChangeArrowheads="1"/>
        </xdr:cNvSpPr>
      </xdr:nvSpPr>
      <xdr:spPr bwMode="auto">
        <a:xfrm>
          <a:off x="6610350" y="0"/>
          <a:ext cx="213360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tr-TR" sz="1000" b="0" i="0" strike="noStrike">
              <a:solidFill>
                <a:srgbClr val="000000"/>
              </a:solidFill>
              <a:latin typeface="Arial"/>
              <a:cs typeface="Arial"/>
            </a:rPr>
            <a:t>Hakediş Tarihi : 30.06.2003</a:t>
          </a:r>
        </a:p>
        <a:p>
          <a:pPr algn="l" rtl="1">
            <a:defRPr sz="1000"/>
          </a:pPr>
          <a:endParaRPr lang="tr-TR" sz="1000" b="0" i="0" strike="noStrike">
            <a:solidFill>
              <a:srgbClr val="000000"/>
            </a:solidFill>
            <a:latin typeface="Arial"/>
            <a:cs typeface="Arial"/>
          </a:endParaRPr>
        </a:p>
        <a:p>
          <a:pPr algn="l" rtl="1">
            <a:defRPr sz="1000"/>
          </a:pPr>
          <a:r>
            <a:rPr lang="tr-TR" sz="1000" b="1" i="0" strike="noStrike">
              <a:solidFill>
                <a:srgbClr val="000000"/>
              </a:solidFill>
              <a:latin typeface="Arial"/>
              <a:cs typeface="Arial"/>
            </a:rPr>
            <a:t>Hakediş No: 2</a:t>
          </a:r>
        </a:p>
      </xdr:txBody>
    </xdr:sp>
    <xdr:clientData/>
  </xdr:twoCellAnchor>
  <xdr:twoCellAnchor>
    <xdr:from>
      <xdr:col>2</xdr:col>
      <xdr:colOff>9525</xdr:colOff>
      <xdr:row>0</xdr:row>
      <xdr:rowOff>0</xdr:rowOff>
    </xdr:from>
    <xdr:to>
      <xdr:col>10</xdr:col>
      <xdr:colOff>9525</xdr:colOff>
      <xdr:row>0</xdr:row>
      <xdr:rowOff>0</xdr:rowOff>
    </xdr:to>
    <xdr:sp macro="" textlink="">
      <xdr:nvSpPr>
        <xdr:cNvPr id="4106" name="Text Box 10"/>
        <xdr:cNvSpPr txBox="1">
          <a:spLocks noChangeArrowheads="1"/>
        </xdr:cNvSpPr>
      </xdr:nvSpPr>
      <xdr:spPr bwMode="auto">
        <a:xfrm>
          <a:off x="9525" y="0"/>
          <a:ext cx="6600825" cy="0"/>
        </a:xfrm>
        <a:prstGeom prst="rect">
          <a:avLst/>
        </a:prstGeom>
        <a:noFill/>
        <a:ln w="9525">
          <a:solidFill>
            <a:srgbClr val="000000"/>
          </a:solidFill>
          <a:miter lim="800000"/>
          <a:headEnd/>
          <a:tailEnd/>
        </a:ln>
      </xdr:spPr>
      <xdr:txBody>
        <a:bodyPr vertOverflow="clip" wrap="square" lIns="27432" tIns="22860" rIns="0" bIns="0" anchor="t" upright="1"/>
        <a:lstStyle/>
        <a:p>
          <a:pPr algn="l" rtl="1">
            <a:defRPr sz="1000"/>
          </a:pPr>
          <a:r>
            <a:rPr lang="tr-TR" sz="1000" b="1" i="0" strike="noStrike">
              <a:solidFill>
                <a:srgbClr val="000000"/>
              </a:solidFill>
              <a:latin typeface="Arial"/>
              <a:cs typeface="Arial"/>
            </a:rPr>
            <a:t>                          </a:t>
          </a:r>
        </a:p>
        <a:p>
          <a:pPr algn="l" rtl="1">
            <a:defRPr sz="1000"/>
          </a:pPr>
          <a:r>
            <a:rPr lang="tr-TR" sz="1200" b="1" i="0" strike="noStrike">
              <a:solidFill>
                <a:srgbClr val="000000"/>
              </a:solidFill>
              <a:latin typeface="Arial"/>
              <a:cs typeface="Arial"/>
            </a:rPr>
            <a:t> </a:t>
          </a:r>
          <a:r>
            <a:rPr lang="tr-TR" sz="1000" b="0" i="0" strike="noStrike">
              <a:solidFill>
                <a:srgbClr val="000000"/>
              </a:solidFill>
              <a:latin typeface="Arial"/>
              <a:cs typeface="Arial"/>
            </a:rPr>
            <a:t>…………………………………………………………………….…….İnşaatı Hakediş özeti            </a:t>
          </a:r>
        </a:p>
        <a:p>
          <a:pPr algn="l" rtl="1">
            <a:defRPr sz="1000"/>
          </a:pPr>
          <a:endParaRPr lang="tr-TR" sz="1000" b="1" i="0" strike="noStrike">
            <a:solidFill>
              <a:srgbClr val="000000"/>
            </a:solidFill>
            <a:latin typeface="Arial"/>
            <a:cs typeface="Arial"/>
          </a:endParaRPr>
        </a:p>
        <a:p>
          <a:pPr algn="l" rtl="1">
            <a:defRPr sz="1000"/>
          </a:pPr>
          <a:r>
            <a:rPr lang="tr-TR" sz="1000" b="1" i="0" strike="noStrike">
              <a:solidFill>
                <a:srgbClr val="000000"/>
              </a:solidFill>
              <a:latin typeface="Arial"/>
              <a:cs typeface="Arial"/>
            </a:rPr>
            <a:t>                                                                                                                                              </a:t>
          </a:r>
        </a:p>
      </xdr:txBody>
    </xdr:sp>
    <xdr:clientData/>
  </xdr:twoCellAnchor>
  <xdr:twoCellAnchor>
    <xdr:from>
      <xdr:col>10</xdr:col>
      <xdr:colOff>9525</xdr:colOff>
      <xdr:row>0</xdr:row>
      <xdr:rowOff>0</xdr:rowOff>
    </xdr:from>
    <xdr:to>
      <xdr:col>12</xdr:col>
      <xdr:colOff>0</xdr:colOff>
      <xdr:row>0</xdr:row>
      <xdr:rowOff>0</xdr:rowOff>
    </xdr:to>
    <xdr:sp macro="" textlink="">
      <xdr:nvSpPr>
        <xdr:cNvPr id="4107" name="Text Box 11"/>
        <xdr:cNvSpPr txBox="1">
          <a:spLocks noChangeArrowheads="1"/>
        </xdr:cNvSpPr>
      </xdr:nvSpPr>
      <xdr:spPr bwMode="auto">
        <a:xfrm>
          <a:off x="6610350" y="0"/>
          <a:ext cx="213360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tr-TR" sz="1000" b="0" i="0" strike="noStrike">
              <a:solidFill>
                <a:srgbClr val="000000"/>
              </a:solidFill>
              <a:latin typeface="Arial"/>
              <a:cs typeface="Arial"/>
            </a:rPr>
            <a:t>Hakediş Tarihi : 30.06.2003</a:t>
          </a:r>
        </a:p>
        <a:p>
          <a:pPr algn="l" rtl="1">
            <a:defRPr sz="1000"/>
          </a:pPr>
          <a:endParaRPr lang="tr-TR" sz="1000" b="0" i="0" strike="noStrike">
            <a:solidFill>
              <a:srgbClr val="000000"/>
            </a:solidFill>
            <a:latin typeface="Arial"/>
            <a:cs typeface="Arial"/>
          </a:endParaRPr>
        </a:p>
        <a:p>
          <a:pPr algn="l" rtl="1">
            <a:defRPr sz="1000"/>
          </a:pPr>
          <a:r>
            <a:rPr lang="tr-TR" sz="1000" b="1" i="0" strike="noStrike">
              <a:solidFill>
                <a:srgbClr val="000000"/>
              </a:solidFill>
              <a:latin typeface="Arial"/>
              <a:cs typeface="Arial"/>
            </a:rPr>
            <a:t>Hakediş No: 2</a:t>
          </a:r>
        </a:p>
      </xdr:txBody>
    </xdr:sp>
    <xdr:clientData/>
  </xdr:twoCellAnchor>
  <xdr:twoCellAnchor>
    <xdr:from>
      <xdr:col>5</xdr:col>
      <xdr:colOff>171450</xdr:colOff>
      <xdr:row>0</xdr:row>
      <xdr:rowOff>0</xdr:rowOff>
    </xdr:from>
    <xdr:to>
      <xdr:col>6</xdr:col>
      <xdr:colOff>933450</xdr:colOff>
      <xdr:row>0</xdr:row>
      <xdr:rowOff>0</xdr:rowOff>
    </xdr:to>
    <xdr:sp macro="" textlink="">
      <xdr:nvSpPr>
        <xdr:cNvPr id="4108" name="AutoShape 12"/>
        <xdr:cNvSpPr>
          <a:spLocks noChangeArrowheads="1"/>
        </xdr:cNvSpPr>
      </xdr:nvSpPr>
      <xdr:spPr bwMode="auto">
        <a:xfrm>
          <a:off x="2324100" y="0"/>
          <a:ext cx="1743075" cy="0"/>
        </a:xfrm>
        <a:prstGeom prst="wedgeEllipseCallout">
          <a:avLst>
            <a:gd name="adj1" fmla="val -31421"/>
            <a:gd name="adj2" fmla="val -82222"/>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tr-TR" sz="800" b="0" i="0" strike="noStrike">
              <a:solidFill>
                <a:srgbClr val="000000"/>
              </a:solidFill>
              <a:latin typeface="Arial"/>
              <a:cs typeface="Arial"/>
            </a:rPr>
            <a:t>Bir önceki hakediş sayfasının ( c ) toplam imalat tutarı sütunun alt TOPLAM ı alınacaktır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C/Application%20Data/Microsoft/Excel/kt&#252;%20farabi%20hastanes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1;ukur&#231;ay&#305;r%20anaokulu/kt&#252;%20farabi%20hastan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BF"/>
      <sheetName val="ANALİZLER (2)"/>
      <sheetName val="İNŞAAT"/>
      <sheetName val="TESİSAT"/>
      <sheetName val="ELEKTRİK"/>
      <sheetName val="TEKLİF CETVELİ"/>
      <sheetName val="icmal"/>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BF"/>
      <sheetName val="ANALİZLER (2)"/>
      <sheetName val="İNŞAAT"/>
      <sheetName val="TESİSAT"/>
      <sheetName val="ELEKTRİK"/>
      <sheetName val="TEKLİF CETVELİ"/>
      <sheetName val="icmal"/>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showGridLines="0" view="pageBreakPreview" zoomScale="85" zoomScaleSheetLayoutView="85" workbookViewId="0">
      <selection activeCell="O19" sqref="O19"/>
    </sheetView>
  </sheetViews>
  <sheetFormatPr defaultRowHeight="12.75" x14ac:dyDescent="0.2"/>
  <cols>
    <col min="1" max="1" width="6" style="65" customWidth="1"/>
    <col min="2" max="2" width="11.28515625" style="25" customWidth="1"/>
    <col min="3" max="3" width="9.140625" style="26"/>
    <col min="4" max="6" width="9.140625" style="65"/>
    <col min="7" max="7" width="33.5703125" style="65" customWidth="1"/>
    <col min="8" max="8" width="7.42578125" style="65" customWidth="1"/>
    <col min="9" max="9" width="8.7109375" style="65" customWidth="1"/>
    <col min="10" max="10" width="8.42578125" style="65" customWidth="1"/>
    <col min="11" max="16384" width="9.140625" style="65"/>
  </cols>
  <sheetData>
    <row r="1" spans="1:10" ht="18.75" customHeight="1" thickBot="1" x14ac:dyDescent="0.25">
      <c r="A1" s="559" t="s">
        <v>43</v>
      </c>
      <c r="B1" s="559"/>
      <c r="C1" s="559"/>
      <c r="D1" s="559"/>
      <c r="E1" s="559"/>
      <c r="F1" s="559"/>
      <c r="G1" s="559"/>
      <c r="H1" s="559"/>
      <c r="I1" s="559"/>
      <c r="J1" s="559"/>
    </row>
    <row r="2" spans="1:10" ht="12" customHeight="1" x14ac:dyDescent="0.2">
      <c r="A2" s="555" t="s">
        <v>58</v>
      </c>
      <c r="B2" s="560" t="s">
        <v>59</v>
      </c>
      <c r="C2" s="570" t="s">
        <v>44</v>
      </c>
      <c r="D2" s="571"/>
      <c r="E2" s="571"/>
      <c r="F2" s="571"/>
      <c r="G2" s="571"/>
      <c r="H2" s="564"/>
      <c r="I2" s="562" t="s">
        <v>45</v>
      </c>
      <c r="J2" s="568" t="s">
        <v>63</v>
      </c>
    </row>
    <row r="3" spans="1:10" ht="15" customHeight="1" thickBot="1" x14ac:dyDescent="0.25">
      <c r="A3" s="556"/>
      <c r="B3" s="561"/>
      <c r="C3" s="572"/>
      <c r="D3" s="573"/>
      <c r="E3" s="573"/>
      <c r="F3" s="573"/>
      <c r="G3" s="573"/>
      <c r="H3" s="565"/>
      <c r="I3" s="563"/>
      <c r="J3" s="569"/>
    </row>
    <row r="4" spans="1:10" ht="18" customHeight="1" x14ac:dyDescent="0.2">
      <c r="A4" s="27">
        <v>1</v>
      </c>
      <c r="B4" s="30" t="s">
        <v>68</v>
      </c>
      <c r="C4" s="566" t="s">
        <v>99</v>
      </c>
      <c r="D4" s="567"/>
      <c r="E4" s="567"/>
      <c r="F4" s="567"/>
      <c r="G4" s="567"/>
      <c r="H4" s="156"/>
      <c r="I4" s="157"/>
      <c r="J4" s="158"/>
    </row>
    <row r="5" spans="1:10" ht="18" customHeight="1" x14ac:dyDescent="0.2">
      <c r="A5" s="27">
        <v>2</v>
      </c>
      <c r="B5" s="7"/>
      <c r="C5" s="557" t="s">
        <v>79</v>
      </c>
      <c r="D5" s="558"/>
      <c r="E5" s="558"/>
      <c r="F5" s="558"/>
      <c r="G5" s="558"/>
      <c r="H5" s="159"/>
      <c r="I5" s="157"/>
      <c r="J5" s="158"/>
    </row>
    <row r="6" spans="1:10" ht="18" customHeight="1" x14ac:dyDescent="0.2">
      <c r="A6" s="8">
        <v>3</v>
      </c>
      <c r="B6" s="28" t="s">
        <v>69</v>
      </c>
      <c r="C6" s="553" t="s">
        <v>65</v>
      </c>
      <c r="D6" s="554"/>
      <c r="E6" s="554"/>
      <c r="F6" s="554"/>
      <c r="G6" s="554"/>
      <c r="H6" s="156"/>
      <c r="I6" s="160" t="s">
        <v>114</v>
      </c>
      <c r="J6" s="161"/>
    </row>
    <row r="7" spans="1:10" ht="18" customHeight="1" x14ac:dyDescent="0.2">
      <c r="A7" s="8">
        <v>4</v>
      </c>
      <c r="B7" s="28" t="s">
        <v>70</v>
      </c>
      <c r="C7" s="553" t="s">
        <v>54</v>
      </c>
      <c r="D7" s="554"/>
      <c r="E7" s="554"/>
      <c r="F7" s="554"/>
      <c r="G7" s="554"/>
      <c r="H7" s="162"/>
      <c r="I7" s="164" t="s">
        <v>114</v>
      </c>
      <c r="J7" s="161"/>
    </row>
    <row r="8" spans="1:10" ht="18" customHeight="1" x14ac:dyDescent="0.2">
      <c r="A8" s="27">
        <v>5</v>
      </c>
      <c r="B8" s="28" t="s">
        <v>71</v>
      </c>
      <c r="C8" s="553" t="s">
        <v>46</v>
      </c>
      <c r="D8" s="554"/>
      <c r="E8" s="554"/>
      <c r="F8" s="554"/>
      <c r="G8" s="554"/>
      <c r="H8" s="162"/>
      <c r="I8" s="160"/>
      <c r="J8" s="161"/>
    </row>
    <row r="9" spans="1:10" ht="18" customHeight="1" x14ac:dyDescent="0.2">
      <c r="A9" s="27">
        <v>6</v>
      </c>
      <c r="B9" s="28" t="s">
        <v>75</v>
      </c>
      <c r="C9" s="553" t="s">
        <v>100</v>
      </c>
      <c r="D9" s="554"/>
      <c r="E9" s="554"/>
      <c r="F9" s="554"/>
      <c r="G9" s="554"/>
      <c r="H9" s="162"/>
      <c r="I9" s="160"/>
      <c r="J9" s="161"/>
    </row>
    <row r="10" spans="1:10" ht="18" customHeight="1" x14ac:dyDescent="0.2">
      <c r="A10" s="8">
        <v>7</v>
      </c>
      <c r="B10" s="28" t="s">
        <v>76</v>
      </c>
      <c r="C10" s="553" t="s">
        <v>104</v>
      </c>
      <c r="D10" s="554"/>
      <c r="E10" s="554"/>
      <c r="F10" s="554"/>
      <c r="G10" s="554"/>
      <c r="H10" s="162"/>
      <c r="I10" s="160" t="s">
        <v>114</v>
      </c>
      <c r="J10" s="161"/>
    </row>
    <row r="11" spans="1:10" ht="18" customHeight="1" x14ac:dyDescent="0.2">
      <c r="A11" s="8">
        <v>8</v>
      </c>
      <c r="B11" s="28" t="s">
        <v>72</v>
      </c>
      <c r="C11" s="553" t="s">
        <v>55</v>
      </c>
      <c r="D11" s="554"/>
      <c r="E11" s="554"/>
      <c r="F11" s="554"/>
      <c r="G11" s="554"/>
      <c r="H11" s="163"/>
      <c r="I11" s="164" t="s">
        <v>114</v>
      </c>
      <c r="J11" s="161"/>
    </row>
    <row r="12" spans="1:10" ht="18" customHeight="1" x14ac:dyDescent="0.2">
      <c r="A12" s="27">
        <v>9</v>
      </c>
      <c r="B12" s="28" t="s">
        <v>73</v>
      </c>
      <c r="C12" s="553" t="s">
        <v>56</v>
      </c>
      <c r="D12" s="554"/>
      <c r="E12" s="554"/>
      <c r="F12" s="554"/>
      <c r="G12" s="554"/>
      <c r="H12" s="162"/>
      <c r="I12" s="160" t="s">
        <v>114</v>
      </c>
      <c r="J12" s="161"/>
    </row>
    <row r="13" spans="1:10" ht="18" customHeight="1" x14ac:dyDescent="0.2">
      <c r="A13" s="27">
        <v>10</v>
      </c>
      <c r="B13" s="28"/>
      <c r="C13" s="557" t="s">
        <v>80</v>
      </c>
      <c r="D13" s="558"/>
      <c r="E13" s="558"/>
      <c r="F13" s="558"/>
      <c r="G13" s="558"/>
      <c r="H13" s="162"/>
      <c r="I13" s="160"/>
      <c r="J13" s="161"/>
    </row>
    <row r="14" spans="1:10" ht="18" customHeight="1" x14ac:dyDescent="0.2">
      <c r="A14" s="8">
        <v>11</v>
      </c>
      <c r="B14" s="28"/>
      <c r="C14" s="557" t="s">
        <v>47</v>
      </c>
      <c r="D14" s="558"/>
      <c r="E14" s="558"/>
      <c r="F14" s="558"/>
      <c r="G14" s="558"/>
      <c r="H14" s="162"/>
      <c r="I14" s="160"/>
      <c r="J14" s="161"/>
    </row>
    <row r="15" spans="1:10" ht="18" customHeight="1" x14ac:dyDescent="0.2">
      <c r="A15" s="8">
        <v>12</v>
      </c>
      <c r="B15" s="28"/>
      <c r="C15" s="557" t="s">
        <v>48</v>
      </c>
      <c r="D15" s="558"/>
      <c r="E15" s="558"/>
      <c r="F15" s="558"/>
      <c r="G15" s="558"/>
      <c r="H15" s="162"/>
      <c r="I15" s="160"/>
      <c r="J15" s="161"/>
    </row>
    <row r="16" spans="1:10" ht="18" customHeight="1" x14ac:dyDescent="0.2">
      <c r="A16" s="27">
        <v>13</v>
      </c>
      <c r="B16" s="28"/>
      <c r="C16" s="557" t="s">
        <v>49</v>
      </c>
      <c r="D16" s="558"/>
      <c r="E16" s="558"/>
      <c r="F16" s="558"/>
      <c r="G16" s="558"/>
      <c r="H16" s="162"/>
      <c r="I16" s="160"/>
      <c r="J16" s="161"/>
    </row>
    <row r="17" spans="1:10" ht="18" customHeight="1" x14ac:dyDescent="0.2">
      <c r="A17" s="27">
        <v>14</v>
      </c>
      <c r="B17" s="28"/>
      <c r="C17" s="557" t="s">
        <v>50</v>
      </c>
      <c r="D17" s="558"/>
      <c r="E17" s="558"/>
      <c r="F17" s="558"/>
      <c r="G17" s="558"/>
      <c r="H17" s="162"/>
      <c r="I17" s="160"/>
      <c r="J17" s="161"/>
    </row>
    <row r="18" spans="1:10" ht="18" customHeight="1" x14ac:dyDescent="0.2">
      <c r="A18" s="8">
        <v>15</v>
      </c>
      <c r="B18" s="28"/>
      <c r="C18" s="557" t="s">
        <v>51</v>
      </c>
      <c r="D18" s="558"/>
      <c r="E18" s="558"/>
      <c r="F18" s="558"/>
      <c r="G18" s="558"/>
      <c r="H18" s="162"/>
      <c r="I18" s="160"/>
      <c r="J18" s="161"/>
    </row>
    <row r="19" spans="1:10" ht="16.5" customHeight="1" x14ac:dyDescent="0.2">
      <c r="A19" s="8">
        <v>16</v>
      </c>
      <c r="B19" s="28"/>
      <c r="C19" s="574" t="s">
        <v>60</v>
      </c>
      <c r="D19" s="575"/>
      <c r="E19" s="575"/>
      <c r="F19" s="575"/>
      <c r="G19" s="575"/>
      <c r="H19" s="162"/>
      <c r="I19" s="160"/>
      <c r="J19" s="161"/>
    </row>
    <row r="20" spans="1:10" ht="18" customHeight="1" x14ac:dyDescent="0.2">
      <c r="A20" s="27">
        <v>17</v>
      </c>
      <c r="B20" s="28"/>
      <c r="C20" s="557" t="s">
        <v>61</v>
      </c>
      <c r="D20" s="558"/>
      <c r="E20" s="558"/>
      <c r="F20" s="558"/>
      <c r="G20" s="558"/>
      <c r="H20" s="162"/>
      <c r="I20" s="160"/>
      <c r="J20" s="161"/>
    </row>
    <row r="21" spans="1:10" ht="18" customHeight="1" x14ac:dyDescent="0.2">
      <c r="A21" s="27">
        <v>18</v>
      </c>
      <c r="B21" s="28"/>
      <c r="C21" s="557" t="s">
        <v>62</v>
      </c>
      <c r="D21" s="558"/>
      <c r="E21" s="558"/>
      <c r="F21" s="558"/>
      <c r="G21" s="558"/>
      <c r="H21" s="162"/>
      <c r="I21" s="7"/>
      <c r="J21" s="165"/>
    </row>
    <row r="22" spans="1:10" ht="18" customHeight="1" x14ac:dyDescent="0.2">
      <c r="A22" s="8">
        <v>19</v>
      </c>
      <c r="B22" s="155" t="s">
        <v>74</v>
      </c>
      <c r="C22" s="557" t="s">
        <v>52</v>
      </c>
      <c r="D22" s="558"/>
      <c r="E22" s="558"/>
      <c r="F22" s="558"/>
      <c r="G22" s="558"/>
      <c r="H22" s="162"/>
      <c r="I22" s="7"/>
      <c r="J22" s="165"/>
    </row>
    <row r="23" spans="1:10" ht="18" customHeight="1" x14ac:dyDescent="0.2">
      <c r="A23" s="8">
        <v>20</v>
      </c>
      <c r="B23" s="155" t="s">
        <v>213</v>
      </c>
      <c r="C23" s="553" t="s">
        <v>57</v>
      </c>
      <c r="D23" s="554"/>
      <c r="E23" s="554"/>
      <c r="F23" s="554"/>
      <c r="G23" s="554"/>
      <c r="H23" s="162"/>
      <c r="I23" s="160" t="s">
        <v>114</v>
      </c>
      <c r="J23" s="161"/>
    </row>
    <row r="24" spans="1:10" ht="18" customHeight="1" x14ac:dyDescent="0.2">
      <c r="A24" s="19"/>
      <c r="B24" s="28"/>
      <c r="C24" s="17"/>
      <c r="D24" s="18"/>
      <c r="E24" s="18"/>
      <c r="F24" s="18"/>
      <c r="G24" s="18"/>
      <c r="H24" s="166"/>
      <c r="I24" s="7"/>
      <c r="J24" s="165"/>
    </row>
    <row r="25" spans="1:10" ht="18" customHeight="1" x14ac:dyDescent="0.2">
      <c r="A25" s="19"/>
      <c r="B25" s="28"/>
      <c r="C25" s="17"/>
      <c r="D25" s="18"/>
      <c r="E25" s="18"/>
      <c r="F25" s="18"/>
      <c r="G25" s="18"/>
      <c r="H25" s="166"/>
      <c r="I25" s="7"/>
      <c r="J25" s="165"/>
    </row>
    <row r="26" spans="1:10" ht="18" customHeight="1" x14ac:dyDescent="0.2">
      <c r="A26" s="19"/>
      <c r="B26" s="28"/>
      <c r="C26" s="17"/>
      <c r="D26" s="18"/>
      <c r="E26" s="18"/>
      <c r="F26" s="18"/>
      <c r="G26" s="18"/>
      <c r="H26" s="166"/>
      <c r="I26" s="7"/>
      <c r="J26" s="165"/>
    </row>
    <row r="27" spans="1:10" ht="18" customHeight="1" x14ac:dyDescent="0.2">
      <c r="A27" s="19"/>
      <c r="B27" s="28"/>
      <c r="C27" s="17"/>
      <c r="D27" s="18"/>
      <c r="E27" s="18"/>
      <c r="F27" s="18"/>
      <c r="G27" s="18"/>
      <c r="H27" s="166"/>
      <c r="I27" s="7"/>
      <c r="J27" s="165"/>
    </row>
    <row r="28" spans="1:10" ht="18" customHeight="1" x14ac:dyDescent="0.2">
      <c r="A28" s="19"/>
      <c r="B28" s="28"/>
      <c r="C28" s="17"/>
      <c r="D28" s="18"/>
      <c r="E28" s="18"/>
      <c r="F28" s="18"/>
      <c r="G28" s="18"/>
      <c r="H28" s="166"/>
      <c r="I28" s="7"/>
      <c r="J28" s="165"/>
    </row>
    <row r="29" spans="1:10" ht="18" customHeight="1" x14ac:dyDescent="0.2">
      <c r="A29" s="19"/>
      <c r="B29" s="28"/>
      <c r="C29" s="17"/>
      <c r="D29" s="18"/>
      <c r="E29" s="18"/>
      <c r="F29" s="18"/>
      <c r="G29" s="18"/>
      <c r="H29" s="166"/>
      <c r="I29" s="7"/>
      <c r="J29" s="165"/>
    </row>
    <row r="30" spans="1:10" ht="18" customHeight="1" x14ac:dyDescent="0.2">
      <c r="A30" s="19"/>
      <c r="B30" s="28"/>
      <c r="C30" s="17"/>
      <c r="D30" s="18"/>
      <c r="E30" s="18"/>
      <c r="F30" s="18"/>
      <c r="G30" s="18"/>
      <c r="H30" s="166"/>
      <c r="I30" s="7"/>
      <c r="J30" s="165"/>
    </row>
    <row r="31" spans="1:10" ht="18" customHeight="1" x14ac:dyDescent="0.2">
      <c r="A31" s="19"/>
      <c r="B31" s="28"/>
      <c r="C31" s="17"/>
      <c r="D31" s="18"/>
      <c r="E31" s="18"/>
      <c r="F31" s="18"/>
      <c r="G31" s="18"/>
      <c r="H31" s="166"/>
      <c r="I31" s="7"/>
      <c r="J31" s="165"/>
    </row>
    <row r="32" spans="1:10" ht="18" customHeight="1" x14ac:dyDescent="0.2">
      <c r="A32" s="19"/>
      <c r="B32" s="28"/>
      <c r="C32" s="17"/>
      <c r="D32" s="18"/>
      <c r="E32" s="18"/>
      <c r="F32" s="18"/>
      <c r="G32" s="18"/>
      <c r="H32" s="166"/>
      <c r="I32" s="7"/>
      <c r="J32" s="165"/>
    </row>
    <row r="33" spans="1:10" ht="18" customHeight="1" x14ac:dyDescent="0.2">
      <c r="A33" s="19"/>
      <c r="B33" s="28"/>
      <c r="C33" s="17"/>
      <c r="D33" s="18"/>
      <c r="E33" s="18"/>
      <c r="F33" s="18"/>
      <c r="G33" s="18"/>
      <c r="H33" s="166"/>
      <c r="I33" s="7"/>
      <c r="J33" s="165"/>
    </row>
    <row r="34" spans="1:10" ht="18" customHeight="1" x14ac:dyDescent="0.2">
      <c r="A34" s="19"/>
      <c r="B34" s="28"/>
      <c r="C34" s="17"/>
      <c r="D34" s="167"/>
      <c r="E34" s="167"/>
      <c r="F34" s="167"/>
      <c r="G34" s="167"/>
      <c r="H34" s="166"/>
      <c r="I34" s="7"/>
      <c r="J34" s="165"/>
    </row>
    <row r="35" spans="1:10" ht="18" customHeight="1" thickBot="1" x14ac:dyDescent="0.25">
      <c r="A35" s="20"/>
      <c r="B35" s="29"/>
      <c r="C35" s="21"/>
      <c r="D35" s="168"/>
      <c r="E35" s="168"/>
      <c r="F35" s="168"/>
      <c r="G35" s="168"/>
      <c r="H35" s="169"/>
      <c r="I35" s="170"/>
      <c r="J35" s="171"/>
    </row>
    <row r="36" spans="1:10" ht="22.5" customHeight="1" x14ac:dyDescent="0.2">
      <c r="A36" s="172" t="s">
        <v>53</v>
      </c>
      <c r="B36" s="31"/>
      <c r="C36" s="173"/>
      <c r="D36" s="174"/>
      <c r="E36" s="174"/>
      <c r="F36" s="174"/>
      <c r="G36" s="174"/>
      <c r="H36" s="174"/>
      <c r="I36" s="174"/>
      <c r="J36" s="174"/>
    </row>
    <row r="37" spans="1:10" ht="12.75" customHeight="1" x14ac:dyDescent="0.2">
      <c r="A37" s="23" t="s">
        <v>96</v>
      </c>
      <c r="B37" s="33" t="s">
        <v>107</v>
      </c>
      <c r="C37" s="23"/>
      <c r="D37" s="23"/>
      <c r="E37" s="23"/>
      <c r="F37" s="23"/>
      <c r="G37" s="23"/>
      <c r="H37" s="23"/>
      <c r="I37" s="23"/>
      <c r="J37" s="23"/>
    </row>
    <row r="38" spans="1:10" x14ac:dyDescent="0.2">
      <c r="A38" s="22"/>
      <c r="B38" s="576" t="s">
        <v>97</v>
      </c>
      <c r="C38" s="576"/>
      <c r="D38" s="576"/>
      <c r="E38" s="576"/>
      <c r="F38" s="23"/>
      <c r="G38" s="23"/>
      <c r="H38" s="23"/>
      <c r="I38" s="23"/>
      <c r="J38" s="23"/>
    </row>
    <row r="39" spans="1:10" x14ac:dyDescent="0.2">
      <c r="A39" s="32" t="s">
        <v>98</v>
      </c>
      <c r="B39" s="32" t="s">
        <v>105</v>
      </c>
      <c r="C39" s="32"/>
      <c r="D39" s="32"/>
      <c r="E39" s="32"/>
      <c r="F39" s="32"/>
      <c r="G39" s="32"/>
      <c r="H39" s="32"/>
      <c r="I39" s="32"/>
      <c r="J39" s="32"/>
    </row>
    <row r="40" spans="1:10" x14ac:dyDescent="0.2">
      <c r="A40" s="23" t="s">
        <v>98</v>
      </c>
      <c r="B40" s="32" t="s">
        <v>106</v>
      </c>
      <c r="C40" s="24"/>
      <c r="D40" s="24"/>
      <c r="E40" s="24"/>
      <c r="F40" s="24"/>
      <c r="G40" s="24"/>
      <c r="H40" s="24"/>
      <c r="I40" s="24"/>
      <c r="J40" s="24"/>
    </row>
  </sheetData>
  <customSheetViews>
    <customSheetView guid="{B697A606-4F7D-4003-A961-6D85D54ED7E6}" showPageBreaks="1" showGridLines="0" fitToPage="1" showRuler="0">
      <selection activeCell="H12" sqref="H12"/>
      <pageMargins left="0.74803149606299213" right="0.74803149606299213" top="0.98425196850393704" bottom="0.98425196850393704" header="0.51181102362204722" footer="0.51181102362204722"/>
      <pageSetup paperSize="9" scale="79" orientation="portrait" r:id="rId1"/>
      <headerFooter alignWithMargins="0"/>
    </customSheetView>
    <customSheetView guid="{A0FBF4F0-B30E-4ACB-A5FE-211E2EFA502B}" showPageBreaks="1" showGridLines="0" fitToPage="1" showRuler="0">
      <selection activeCell="M36" sqref="M36"/>
      <pageMargins left="0.74803149606299213" right="0.74803149606299213" top="0.98425196850393704" bottom="0.98425196850393704" header="0.51181102362204722" footer="0.51181102362204722"/>
      <pageSetup paperSize="9" scale="79" orientation="portrait" r:id="rId2"/>
      <headerFooter alignWithMargins="0"/>
    </customSheetView>
  </customSheetViews>
  <mergeCells count="28">
    <mergeCell ref="C19:G19"/>
    <mergeCell ref="C9:G9"/>
    <mergeCell ref="C13:G13"/>
    <mergeCell ref="C12:G12"/>
    <mergeCell ref="B38:E38"/>
    <mergeCell ref="C22:G22"/>
    <mergeCell ref="C21:G21"/>
    <mergeCell ref="C23:G23"/>
    <mergeCell ref="C20:G20"/>
    <mergeCell ref="C18:G18"/>
    <mergeCell ref="C17:G17"/>
    <mergeCell ref="C14:G14"/>
    <mergeCell ref="C15:G15"/>
    <mergeCell ref="C7:G7"/>
    <mergeCell ref="A2:A3"/>
    <mergeCell ref="C16:G16"/>
    <mergeCell ref="A1:J1"/>
    <mergeCell ref="B2:B3"/>
    <mergeCell ref="I2:I3"/>
    <mergeCell ref="H2:H3"/>
    <mergeCell ref="C6:G6"/>
    <mergeCell ref="C11:G11"/>
    <mergeCell ref="C10:G10"/>
    <mergeCell ref="C8:G8"/>
    <mergeCell ref="C4:G4"/>
    <mergeCell ref="J2:J3"/>
    <mergeCell ref="C2:G3"/>
    <mergeCell ref="C5:G5"/>
  </mergeCells>
  <phoneticPr fontId="10" type="noConversion"/>
  <hyperlinks>
    <hyperlink ref="C4:G4" location="'Ağırlık Oran. Tem. Kat.'!A1" display="Ağırlık Oranları Temsil Katsayıları"/>
    <hyperlink ref="C6:G6" location="'Metraj İcmali (Yeşil Defter)'!A1" display="Metraj İcmali (Yeşil Defter)"/>
    <hyperlink ref="C7:G7" location="'Fiyat Farkı Hesap Tablosu'!A1" display="Fiyat Farkı Hesap Tablosu"/>
    <hyperlink ref="C8:G8" location="'İhzarat  Tespit Tutanağı'!A1" display="İhzarat Tespit Tutanağı"/>
    <hyperlink ref="C9:G9" location="'Ödenek Dilimleri ve İş Prg. (a)'!A1" display="Ödenek Dilimleri ve İmalat / İhzarat İş Programı (Varsa Revize İş Programı)"/>
    <hyperlink ref="C10:G10" location="'Yapılan İşler Listesi (a)'!A1" display="Yapılan İşler Listesi (Yapım İşleri İçin)"/>
    <hyperlink ref="C11:G11" location="'Hakediş Özeti'!A1" display="Hakediş Özeti"/>
    <hyperlink ref="C12:G12" location="İcmal!A1" display="Hakediş İcmali"/>
    <hyperlink ref="C23:G23" location="'Hakediş Raporu Son Sayfa'!A1" display="Hakediş Raporu Son Sayfası"/>
  </hyperlinks>
  <printOptions horizontalCentered="1"/>
  <pageMargins left="0.78" right="0.52" top="0.84" bottom="2.0078740157480315" header="0.51181102362204722" footer="0.51181102362204722"/>
  <pageSetup paperSize="9" scale="80" orientation="portrait" horizontalDpi="300" verticalDpi="300"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3"/>
  <sheetViews>
    <sheetView view="pageBreakPreview" topLeftCell="A4" zoomScale="70" zoomScaleSheetLayoutView="70" workbookViewId="0">
      <selection activeCell="P20" sqref="P20"/>
    </sheetView>
  </sheetViews>
  <sheetFormatPr defaultRowHeight="15.75" x14ac:dyDescent="0.2"/>
  <cols>
    <col min="1" max="1" width="14.7109375" style="460" bestFit="1" customWidth="1"/>
    <col min="2" max="2" width="19.28515625" style="450" customWidth="1"/>
    <col min="3" max="3" width="6.42578125" style="450" hidden="1" customWidth="1"/>
    <col min="4" max="4" width="17.85546875" style="450" customWidth="1"/>
    <col min="5" max="5" width="14.7109375" style="450" customWidth="1"/>
    <col min="6" max="6" width="19" style="450" customWidth="1"/>
    <col min="7" max="7" width="15.140625" style="450" customWidth="1"/>
    <col min="8" max="8" width="12.5703125" style="450" customWidth="1"/>
    <col min="9" max="9" width="11.7109375" style="450" customWidth="1"/>
    <col min="10" max="10" width="18.5703125" style="450" customWidth="1"/>
    <col min="11" max="11" width="13.5703125" style="450" customWidth="1"/>
    <col min="12" max="15" width="9.140625" style="450"/>
    <col min="16" max="16" width="17.28515625" style="450" customWidth="1"/>
    <col min="17" max="17" width="20.42578125" style="450" customWidth="1"/>
    <col min="18" max="18" width="17.42578125" style="450" customWidth="1"/>
    <col min="19" max="16384" width="9.140625" style="450"/>
  </cols>
  <sheetData>
    <row r="1" spans="1:18" ht="24.75" customHeight="1" x14ac:dyDescent="0.2">
      <c r="A1" s="717" t="s">
        <v>801</v>
      </c>
      <c r="B1" s="717"/>
      <c r="C1" s="717"/>
      <c r="D1" s="717"/>
      <c r="E1" s="717"/>
      <c r="F1" s="717"/>
      <c r="G1" s="717"/>
      <c r="H1" s="717"/>
      <c r="I1" s="717"/>
      <c r="J1" s="717"/>
      <c r="K1" s="717"/>
    </row>
    <row r="2" spans="1:18" x14ac:dyDescent="0.2">
      <c r="A2" s="717" t="s">
        <v>783</v>
      </c>
      <c r="B2" s="717"/>
      <c r="C2" s="516"/>
      <c r="D2" s="496" t="s">
        <v>784</v>
      </c>
      <c r="E2" s="516" t="s">
        <v>785</v>
      </c>
      <c r="F2" s="516" t="s">
        <v>786</v>
      </c>
      <c r="G2" s="516" t="s">
        <v>787</v>
      </c>
      <c r="H2" s="516" t="s">
        <v>788</v>
      </c>
      <c r="I2" s="516" t="s">
        <v>789</v>
      </c>
      <c r="J2" s="516" t="s">
        <v>790</v>
      </c>
      <c r="K2" s="516" t="s">
        <v>867</v>
      </c>
    </row>
    <row r="3" spans="1:18" ht="24" customHeight="1" x14ac:dyDescent="0.2">
      <c r="A3" s="517" t="s">
        <v>807</v>
      </c>
      <c r="B3" s="498">
        <v>3490.34</v>
      </c>
      <c r="C3" s="498"/>
      <c r="D3" s="498">
        <f>+B3</f>
        <v>3490.34</v>
      </c>
      <c r="E3" s="510" t="s">
        <v>795</v>
      </c>
      <c r="F3" s="510" t="s">
        <v>795</v>
      </c>
      <c r="G3" s="511">
        <v>14859.96</v>
      </c>
      <c r="H3" s="511">
        <v>14769.45</v>
      </c>
      <c r="I3" s="512">
        <f>ROUND(((G3/H3)-1)*0.9,6)</f>
        <v>5.5149999999999999E-3</v>
      </c>
      <c r="J3" s="498">
        <v>3490.34</v>
      </c>
      <c r="K3" s="502">
        <f>I3*J3</f>
        <v>19.2492251</v>
      </c>
      <c r="P3" s="457"/>
      <c r="Q3" s="452"/>
      <c r="R3" s="452"/>
    </row>
    <row r="4" spans="1:18" ht="24" customHeight="1" x14ac:dyDescent="0.2">
      <c r="A4" s="517" t="s">
        <v>808</v>
      </c>
      <c r="B4" s="498">
        <v>56903.77</v>
      </c>
      <c r="C4" s="498"/>
      <c r="D4" s="498">
        <f>+ROUND(D3+B4,2)</f>
        <v>60394.11</v>
      </c>
      <c r="E4" s="510" t="s">
        <v>796</v>
      </c>
      <c r="F4" s="510" t="s">
        <v>796</v>
      </c>
      <c r="G4" s="511">
        <v>14637.99</v>
      </c>
      <c r="H4" s="511">
        <v>14769.45</v>
      </c>
      <c r="I4" s="512">
        <f t="shared" ref="I4:I12" si="0">ROUND(((G4/H4)-1)*0.9,6)</f>
        <v>-8.0110000000000008E-3</v>
      </c>
      <c r="J4" s="498">
        <f>+B4</f>
        <v>56903.77</v>
      </c>
      <c r="K4" s="502">
        <f>I4*J4</f>
        <v>-455.85610147</v>
      </c>
      <c r="P4" s="457"/>
      <c r="Q4" s="452"/>
      <c r="R4" s="452"/>
    </row>
    <row r="5" spans="1:18" ht="31.5" x14ac:dyDescent="0.2">
      <c r="A5" s="513" t="s">
        <v>853</v>
      </c>
      <c r="B5" s="503">
        <v>96386.73</v>
      </c>
      <c r="C5" s="503"/>
      <c r="D5" s="503">
        <f>+B5</f>
        <v>96386.73</v>
      </c>
      <c r="E5" s="721"/>
      <c r="F5" s="722"/>
      <c r="G5" s="722"/>
      <c r="H5" s="722"/>
      <c r="I5" s="722"/>
      <c r="J5" s="722"/>
      <c r="K5" s="723"/>
      <c r="P5" s="457"/>
      <c r="Q5" s="452"/>
      <c r="R5" s="452"/>
    </row>
    <row r="6" spans="1:18" ht="24" customHeight="1" x14ac:dyDescent="0.2">
      <c r="A6" s="718" t="s">
        <v>809</v>
      </c>
      <c r="B6" s="719">
        <v>61739.58</v>
      </c>
      <c r="C6" s="498"/>
      <c r="D6" s="720">
        <f>+ROUND(D4+B6,2)</f>
        <v>122133.69</v>
      </c>
      <c r="E6" s="510" t="s">
        <v>814</v>
      </c>
      <c r="F6" s="510" t="s">
        <v>796</v>
      </c>
      <c r="G6" s="511">
        <v>14637.99</v>
      </c>
      <c r="H6" s="511">
        <v>14769.45</v>
      </c>
      <c r="I6" s="512">
        <f t="shared" si="0"/>
        <v>-8.0110000000000008E-3</v>
      </c>
      <c r="J6" s="498">
        <f>+B5-(B4+B3)</f>
        <v>35992.619999999995</v>
      </c>
      <c r="K6" s="502">
        <f t="shared" ref="K6:K20" si="1">I6*J6</f>
        <v>-288.33687881999998</v>
      </c>
      <c r="P6" s="457"/>
      <c r="Q6" s="452"/>
      <c r="R6" s="452"/>
    </row>
    <row r="7" spans="1:18" ht="24" customHeight="1" x14ac:dyDescent="0.2">
      <c r="A7" s="718"/>
      <c r="B7" s="719"/>
      <c r="C7" s="498"/>
      <c r="D7" s="720"/>
      <c r="E7" s="510" t="s">
        <v>814</v>
      </c>
      <c r="F7" s="510" t="s">
        <v>855</v>
      </c>
      <c r="G7" s="511">
        <v>14592.02</v>
      </c>
      <c r="H7" s="511">
        <v>14769.45</v>
      </c>
      <c r="I7" s="512">
        <f t="shared" si="0"/>
        <v>-1.0812E-2</v>
      </c>
      <c r="J7" s="498">
        <f>+B6-J6</f>
        <v>25746.960000000006</v>
      </c>
      <c r="K7" s="502">
        <f t="shared" si="1"/>
        <v>-278.37613152000006</v>
      </c>
      <c r="P7" s="457"/>
      <c r="Q7" s="452"/>
      <c r="R7" s="452"/>
    </row>
    <row r="8" spans="1:18" ht="24" customHeight="1" x14ac:dyDescent="0.2">
      <c r="A8" s="714" t="s">
        <v>810</v>
      </c>
      <c r="B8" s="711">
        <v>53317.54</v>
      </c>
      <c r="C8" s="498"/>
      <c r="D8" s="711">
        <f>+ROUND(D6+B8,2)</f>
        <v>175451.23</v>
      </c>
      <c r="E8" s="510" t="s">
        <v>797</v>
      </c>
      <c r="F8" s="510" t="s">
        <v>797</v>
      </c>
      <c r="G8" s="511">
        <v>14629.37</v>
      </c>
      <c r="H8" s="511">
        <v>14769.45</v>
      </c>
      <c r="I8" s="512">
        <f t="shared" si="0"/>
        <v>-8.5360000000000002E-3</v>
      </c>
      <c r="J8" s="498">
        <f>+B11-J7</f>
        <v>6221.5099999999948</v>
      </c>
      <c r="K8" s="502">
        <f t="shared" si="1"/>
        <v>-53.106809359999957</v>
      </c>
      <c r="P8" s="457"/>
      <c r="Q8" s="452"/>
      <c r="R8" s="452"/>
    </row>
    <row r="9" spans="1:18" ht="24" customHeight="1" x14ac:dyDescent="0.2">
      <c r="A9" s="715"/>
      <c r="B9" s="712"/>
      <c r="C9" s="498"/>
      <c r="D9" s="712"/>
      <c r="E9" s="510" t="s">
        <v>797</v>
      </c>
      <c r="F9" s="510" t="s">
        <v>797</v>
      </c>
      <c r="G9" s="511">
        <v>14629.37</v>
      </c>
      <c r="H9" s="511">
        <v>14769.45</v>
      </c>
      <c r="I9" s="512">
        <f t="shared" si="0"/>
        <v>-8.5360000000000002E-3</v>
      </c>
      <c r="J9" s="498">
        <v>31993.97</v>
      </c>
      <c r="K9" s="502">
        <f t="shared" si="1"/>
        <v>-273.10052791999999</v>
      </c>
      <c r="P9" s="457"/>
      <c r="Q9" s="452"/>
      <c r="R9" s="452"/>
    </row>
    <row r="10" spans="1:18" ht="24" customHeight="1" x14ac:dyDescent="0.2">
      <c r="A10" s="716"/>
      <c r="B10" s="713"/>
      <c r="C10" s="498"/>
      <c r="D10" s="713"/>
      <c r="E10" s="510" t="s">
        <v>797</v>
      </c>
      <c r="F10" s="510" t="s">
        <v>797</v>
      </c>
      <c r="G10" s="511">
        <v>14629.37</v>
      </c>
      <c r="H10" s="511">
        <v>14769.45</v>
      </c>
      <c r="I10" s="512">
        <f t="shared" si="0"/>
        <v>-8.5360000000000002E-3</v>
      </c>
      <c r="J10" s="498">
        <v>15102.060000000005</v>
      </c>
      <c r="K10" s="502">
        <f t="shared" si="1"/>
        <v>-128.91118416000003</v>
      </c>
      <c r="P10" s="457"/>
      <c r="Q10" s="452"/>
      <c r="R10" s="452"/>
    </row>
    <row r="11" spans="1:18" ht="31.5" x14ac:dyDescent="0.2">
      <c r="A11" s="513" t="s">
        <v>854</v>
      </c>
      <c r="B11" s="503">
        <f>+D25</f>
        <v>31968.47</v>
      </c>
      <c r="C11" s="498"/>
      <c r="D11" s="503">
        <f>+F25</f>
        <v>128355.2</v>
      </c>
      <c r="E11" s="721"/>
      <c r="F11" s="722"/>
      <c r="G11" s="722"/>
      <c r="H11" s="722"/>
      <c r="I11" s="722"/>
      <c r="J11" s="722"/>
      <c r="K11" s="723"/>
      <c r="P11" s="457"/>
      <c r="Q11" s="452"/>
      <c r="R11" s="452"/>
    </row>
    <row r="12" spans="1:18" ht="24" customHeight="1" x14ac:dyDescent="0.2">
      <c r="A12" s="714" t="s">
        <v>811</v>
      </c>
      <c r="B12" s="711">
        <v>50419.32</v>
      </c>
      <c r="C12" s="498"/>
      <c r="D12" s="711">
        <f>+ROUND(D8+B12,2)</f>
        <v>225870.55</v>
      </c>
      <c r="E12" s="514" t="s">
        <v>791</v>
      </c>
      <c r="F12" s="514" t="s">
        <v>791</v>
      </c>
      <c r="G12" s="511">
        <v>14780.22</v>
      </c>
      <c r="H12" s="511">
        <v>14769.45</v>
      </c>
      <c r="I12" s="512">
        <f t="shared" si="0"/>
        <v>6.5600000000000001E-4</v>
      </c>
      <c r="J12" s="498">
        <f>+B17-J10</f>
        <v>25972.509999999973</v>
      </c>
      <c r="K12" s="502">
        <f t="shared" si="1"/>
        <v>17.037966559999983</v>
      </c>
      <c r="P12" s="457"/>
      <c r="Q12" s="452"/>
      <c r="R12" s="452"/>
    </row>
    <row r="13" spans="1:18" ht="24" customHeight="1" x14ac:dyDescent="0.2">
      <c r="A13" s="716"/>
      <c r="B13" s="713"/>
      <c r="C13" s="498"/>
      <c r="D13" s="713"/>
      <c r="E13" s="514" t="s">
        <v>791</v>
      </c>
      <c r="F13" s="514" t="s">
        <v>791</v>
      </c>
      <c r="G13" s="511">
        <v>14780.22</v>
      </c>
      <c r="H13" s="511">
        <v>14769.45</v>
      </c>
      <c r="I13" s="512">
        <f>ROUND(((G13/H13)-1)*0.9,6)</f>
        <v>6.5600000000000001E-4</v>
      </c>
      <c r="J13" s="498">
        <f>+B12-J12</f>
        <v>24446.810000000027</v>
      </c>
      <c r="K13" s="502">
        <f t="shared" si="1"/>
        <v>16.037107360000018</v>
      </c>
      <c r="P13" s="457"/>
      <c r="Q13" s="452"/>
      <c r="R13" s="452"/>
    </row>
    <row r="14" spans="1:18" ht="31.5" x14ac:dyDescent="0.2">
      <c r="A14" s="513" t="s">
        <v>859</v>
      </c>
      <c r="B14" s="503">
        <f>+D26</f>
        <v>31993.970000000016</v>
      </c>
      <c r="C14" s="498"/>
      <c r="D14" s="503">
        <f>+F26</f>
        <v>160349.17000000001</v>
      </c>
      <c r="E14" s="725"/>
      <c r="F14" s="726"/>
      <c r="G14" s="726"/>
      <c r="H14" s="726"/>
      <c r="I14" s="726"/>
      <c r="J14" s="726"/>
      <c r="K14" s="727"/>
      <c r="P14" s="457"/>
      <c r="Q14" s="452"/>
      <c r="R14" s="452"/>
    </row>
    <row r="15" spans="1:18" ht="24" customHeight="1" x14ac:dyDescent="0.2">
      <c r="A15" s="714" t="s">
        <v>812</v>
      </c>
      <c r="B15" s="711">
        <v>105838.41</v>
      </c>
      <c r="C15" s="498"/>
      <c r="D15" s="711">
        <f>+ROUND(D12+B15,2)</f>
        <v>331708.96000000002</v>
      </c>
      <c r="E15" s="510" t="s">
        <v>792</v>
      </c>
      <c r="F15" s="510" t="s">
        <v>792</v>
      </c>
      <c r="G15" s="511">
        <v>14806.08</v>
      </c>
      <c r="H15" s="511">
        <v>14769.45</v>
      </c>
      <c r="I15" s="512">
        <f>ROUND(((G15/H15)-1)*0.9,6)</f>
        <v>2.232E-3</v>
      </c>
      <c r="J15" s="498">
        <f>+B19-J13</f>
        <v>273129.93999999994</v>
      </c>
      <c r="K15" s="502">
        <f t="shared" si="1"/>
        <v>609.62602607999986</v>
      </c>
      <c r="P15" s="457"/>
      <c r="Q15" s="452"/>
      <c r="R15" s="452"/>
    </row>
    <row r="16" spans="1:18" ht="24" customHeight="1" x14ac:dyDescent="0.2">
      <c r="A16" s="716"/>
      <c r="B16" s="713"/>
      <c r="C16" s="498"/>
      <c r="D16" s="713"/>
      <c r="E16" s="510"/>
      <c r="F16" s="510"/>
      <c r="G16" s="511"/>
      <c r="H16" s="511"/>
      <c r="I16" s="512"/>
      <c r="J16" s="498"/>
      <c r="K16" s="502"/>
      <c r="P16" s="457"/>
      <c r="Q16" s="452"/>
      <c r="R16" s="452"/>
    </row>
    <row r="17" spans="1:18" ht="31.5" x14ac:dyDescent="0.2">
      <c r="A17" s="513" t="s">
        <v>862</v>
      </c>
      <c r="B17" s="503">
        <f>+D27</f>
        <v>41074.569999999978</v>
      </c>
      <c r="C17" s="503"/>
      <c r="D17" s="503">
        <f>+F27</f>
        <v>201423.74</v>
      </c>
      <c r="E17" s="721"/>
      <c r="F17" s="722"/>
      <c r="G17" s="722"/>
      <c r="H17" s="722"/>
      <c r="I17" s="722"/>
      <c r="J17" s="722"/>
      <c r="K17" s="723"/>
      <c r="P17" s="457"/>
      <c r="Q17" s="452"/>
      <c r="R17" s="452"/>
    </row>
    <row r="18" spans="1:18" ht="24" customHeight="1" x14ac:dyDescent="0.2">
      <c r="A18" s="517" t="s">
        <v>813</v>
      </c>
      <c r="B18" s="498">
        <v>102972.26</v>
      </c>
      <c r="C18" s="498"/>
      <c r="D18" s="498">
        <f>+ROUND(D15+B18,2)</f>
        <v>434681.22</v>
      </c>
      <c r="E18" s="510" t="s">
        <v>793</v>
      </c>
      <c r="F18" s="510"/>
      <c r="G18" s="511"/>
      <c r="H18" s="511"/>
      <c r="I18" s="512"/>
      <c r="J18" s="498"/>
      <c r="K18" s="502">
        <f t="shared" si="1"/>
        <v>0</v>
      </c>
    </row>
    <row r="19" spans="1:18" ht="39.75" customHeight="1" x14ac:dyDescent="0.2">
      <c r="A19" s="513" t="s">
        <v>866</v>
      </c>
      <c r="B19" s="503">
        <f>+D28</f>
        <v>297576.75</v>
      </c>
      <c r="C19" s="503"/>
      <c r="D19" s="503">
        <f>+F28</f>
        <v>499000.49</v>
      </c>
      <c r="E19" s="721"/>
      <c r="F19" s="722"/>
      <c r="G19" s="722"/>
      <c r="H19" s="722"/>
      <c r="I19" s="722"/>
      <c r="J19" s="722"/>
      <c r="K19" s="723"/>
    </row>
    <row r="20" spans="1:18" ht="24" customHeight="1" x14ac:dyDescent="0.2">
      <c r="A20" s="497" t="s">
        <v>849</v>
      </c>
      <c r="B20" s="498">
        <v>64318.78</v>
      </c>
      <c r="C20" s="498"/>
      <c r="D20" s="495">
        <f>+ROUND(D18+B20,2)</f>
        <v>499000</v>
      </c>
      <c r="E20" s="499" t="s">
        <v>794</v>
      </c>
      <c r="F20" s="499"/>
      <c r="G20" s="500"/>
      <c r="H20" s="500"/>
      <c r="I20" s="501"/>
      <c r="J20" s="495"/>
      <c r="K20" s="502">
        <f t="shared" si="1"/>
        <v>0</v>
      </c>
    </row>
    <row r="21" spans="1:18" ht="24" customHeight="1" x14ac:dyDescent="0.2">
      <c r="A21" s="461" t="s">
        <v>12</v>
      </c>
      <c r="B21" s="462">
        <f>+SUM(B3+B4+B6+B8+B12+B15+B18+B20)</f>
        <v>499000</v>
      </c>
      <c r="C21" s="451"/>
      <c r="D21" s="452"/>
      <c r="E21" s="453"/>
      <c r="F21" s="453"/>
      <c r="G21" s="454"/>
      <c r="H21" s="454"/>
      <c r="I21" s="455"/>
      <c r="J21" s="452"/>
      <c r="K21" s="456"/>
    </row>
    <row r="22" spans="1:18" x14ac:dyDescent="0.2">
      <c r="A22" s="530"/>
      <c r="B22" s="452"/>
      <c r="C22" s="452"/>
      <c r="D22" s="452"/>
      <c r="E22" s="452"/>
      <c r="G22" s="454"/>
      <c r="H22" s="454"/>
      <c r="I22" s="455"/>
    </row>
    <row r="23" spans="1:18" ht="19.5" customHeight="1" x14ac:dyDescent="0.2">
      <c r="A23" s="492" t="s">
        <v>857</v>
      </c>
      <c r="B23" s="493" t="s">
        <v>798</v>
      </c>
      <c r="C23" s="493"/>
      <c r="D23" s="493" t="s">
        <v>799</v>
      </c>
      <c r="E23" s="493"/>
      <c r="F23" s="516" t="s">
        <v>800</v>
      </c>
      <c r="I23" s="458"/>
      <c r="J23" s="459" t="s">
        <v>850</v>
      </c>
      <c r="K23" s="456">
        <f>+SUM(K3:K20)</f>
        <v>-815.7373081500001</v>
      </c>
    </row>
    <row r="24" spans="1:18" x14ac:dyDescent="0.2">
      <c r="A24" s="516">
        <v>1</v>
      </c>
      <c r="B24" s="494">
        <v>41095</v>
      </c>
      <c r="C24" s="494"/>
      <c r="D24" s="495">
        <v>96386.73</v>
      </c>
      <c r="E24" s="495"/>
      <c r="F24" s="495">
        <f>+D24</f>
        <v>96386.73</v>
      </c>
      <c r="G24" s="452"/>
    </row>
    <row r="25" spans="1:18" x14ac:dyDescent="0.2">
      <c r="A25" s="516">
        <v>2</v>
      </c>
      <c r="B25" s="494">
        <v>41155</v>
      </c>
      <c r="C25" s="494"/>
      <c r="D25" s="495">
        <f>+F25-F24</f>
        <v>31968.47</v>
      </c>
      <c r="E25" s="495"/>
      <c r="F25" s="495">
        <v>128355.2</v>
      </c>
      <c r="G25" s="452"/>
    </row>
    <row r="26" spans="1:18" x14ac:dyDescent="0.2">
      <c r="A26" s="516">
        <v>3</v>
      </c>
      <c r="B26" s="494">
        <v>41187</v>
      </c>
      <c r="C26" s="494"/>
      <c r="D26" s="495">
        <f>+F26-F25</f>
        <v>31993.970000000016</v>
      </c>
      <c r="E26" s="495"/>
      <c r="F26" s="495">
        <v>160349.17000000001</v>
      </c>
      <c r="G26" s="452"/>
      <c r="I26" s="724"/>
      <c r="J26" s="724"/>
    </row>
    <row r="27" spans="1:18" x14ac:dyDescent="0.2">
      <c r="A27" s="516">
        <v>4</v>
      </c>
      <c r="B27" s="494">
        <v>41218</v>
      </c>
      <c r="C27" s="494"/>
      <c r="D27" s="495">
        <f>+F27-F26</f>
        <v>41074.569999999978</v>
      </c>
      <c r="E27" s="495"/>
      <c r="F27" s="495">
        <v>201423.74</v>
      </c>
      <c r="G27" s="452"/>
      <c r="I27" s="724"/>
      <c r="J27" s="724"/>
    </row>
    <row r="28" spans="1:18" x14ac:dyDescent="0.2">
      <c r="A28" s="531">
        <v>5</v>
      </c>
      <c r="B28" s="494">
        <v>41248</v>
      </c>
      <c r="C28" s="494"/>
      <c r="D28" s="495">
        <f>+F28-F27</f>
        <v>297576.75</v>
      </c>
      <c r="E28" s="495"/>
      <c r="F28" s="495">
        <f>+'yapılan işler listesi'!F13</f>
        <v>499000.49</v>
      </c>
      <c r="G28" s="452"/>
      <c r="I28" s="515"/>
      <c r="J28" s="515"/>
    </row>
    <row r="29" spans="1:18" x14ac:dyDescent="0.2">
      <c r="A29" s="458"/>
      <c r="B29" s="457"/>
      <c r="C29" s="457"/>
      <c r="D29" s="452"/>
      <c r="E29" s="452"/>
      <c r="F29" s="452"/>
      <c r="G29" s="452"/>
    </row>
    <row r="30" spans="1:18" x14ac:dyDescent="0.2">
      <c r="A30" s="458"/>
      <c r="B30" s="457"/>
      <c r="C30" s="457"/>
      <c r="D30" s="724" t="s">
        <v>292</v>
      </c>
      <c r="E30" s="724"/>
      <c r="F30" s="518" t="s">
        <v>775</v>
      </c>
      <c r="G30" s="520" t="s">
        <v>777</v>
      </c>
    </row>
    <row r="31" spans="1:18" x14ac:dyDescent="0.2">
      <c r="A31" s="458"/>
      <c r="B31" s="457"/>
      <c r="C31" s="457"/>
      <c r="D31" s="724" t="s">
        <v>760</v>
      </c>
      <c r="E31" s="724"/>
      <c r="F31" s="518" t="s">
        <v>776</v>
      </c>
      <c r="G31" s="519" t="s">
        <v>778</v>
      </c>
    </row>
    <row r="32" spans="1:18" x14ac:dyDescent="0.2">
      <c r="A32" s="458"/>
      <c r="B32" s="457"/>
      <c r="C32" s="457"/>
      <c r="D32" s="452"/>
      <c r="E32" s="452"/>
      <c r="F32" s="452"/>
    </row>
    <row r="33" spans="1:6" x14ac:dyDescent="0.2">
      <c r="A33" s="458"/>
      <c r="B33" s="457"/>
      <c r="C33" s="457"/>
      <c r="D33" s="452"/>
      <c r="E33" s="452"/>
      <c r="F33" s="452"/>
    </row>
  </sheetData>
  <mergeCells count="23">
    <mergeCell ref="A15:A16"/>
    <mergeCell ref="B15:B16"/>
    <mergeCell ref="D15:D16"/>
    <mergeCell ref="E19:K19"/>
    <mergeCell ref="D30:E30"/>
    <mergeCell ref="D31:E31"/>
    <mergeCell ref="D8:D10"/>
    <mergeCell ref="D12:D13"/>
    <mergeCell ref="E11:K11"/>
    <mergeCell ref="E14:K14"/>
    <mergeCell ref="E17:K17"/>
    <mergeCell ref="I26:J26"/>
    <mergeCell ref="I27:J27"/>
    <mergeCell ref="B8:B10"/>
    <mergeCell ref="A8:A10"/>
    <mergeCell ref="B12:B13"/>
    <mergeCell ref="A12:A13"/>
    <mergeCell ref="A1:K1"/>
    <mergeCell ref="A2:B2"/>
    <mergeCell ref="A6:A7"/>
    <mergeCell ref="B6:B7"/>
    <mergeCell ref="D6:D7"/>
    <mergeCell ref="E5:K5"/>
  </mergeCells>
  <pageMargins left="0.98425196850393704" right="0.98425196850393704" top="0.98425196850393704" bottom="0.98425196850393704" header="0.51181102362204722" footer="0.51181102362204722"/>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56"/>
  <sheetViews>
    <sheetView view="pageBreakPreview" zoomScaleNormal="115" zoomScaleSheetLayoutView="100" workbookViewId="0">
      <selection activeCell="B22" sqref="B22:F22"/>
    </sheetView>
  </sheetViews>
  <sheetFormatPr defaultRowHeight="14.25" x14ac:dyDescent="0.2"/>
  <cols>
    <col min="1" max="1" width="9.140625" style="295"/>
    <col min="2" max="2" width="9.140625" style="480"/>
    <col min="3" max="3" width="14.28515625" style="295" customWidth="1"/>
    <col min="4" max="4" width="12.42578125" style="295" customWidth="1"/>
    <col min="5" max="5" width="1.42578125" style="295" customWidth="1"/>
    <col min="6" max="6" width="14" style="295" customWidth="1"/>
    <col min="7" max="7" width="23.28515625" style="295" customWidth="1"/>
    <col min="8" max="16384" width="9.140625" style="295"/>
  </cols>
  <sheetData>
    <row r="1" spans="1:13" ht="15" x14ac:dyDescent="0.2">
      <c r="A1" s="759" t="s">
        <v>845</v>
      </c>
      <c r="B1" s="760"/>
      <c r="C1" s="760"/>
      <c r="D1" s="760"/>
      <c r="E1" s="760"/>
      <c r="F1" s="760"/>
      <c r="G1" s="761"/>
    </row>
    <row r="2" spans="1:13" ht="15" x14ac:dyDescent="0.2">
      <c r="A2" s="762" t="s">
        <v>815</v>
      </c>
      <c r="B2" s="763"/>
      <c r="C2" s="763"/>
      <c r="D2" s="763"/>
      <c r="E2" s="763"/>
      <c r="F2" s="763"/>
      <c r="G2" s="764"/>
    </row>
    <row r="3" spans="1:13" ht="15.75" thickBot="1" x14ac:dyDescent="0.25">
      <c r="A3" s="765"/>
      <c r="B3" s="766"/>
      <c r="C3" s="766"/>
      <c r="D3" s="766"/>
      <c r="E3" s="766"/>
      <c r="F3" s="766"/>
      <c r="G3" s="767"/>
    </row>
    <row r="4" spans="1:13" x14ac:dyDescent="0.2">
      <c r="A4" s="768" t="s">
        <v>816</v>
      </c>
      <c r="B4" s="769"/>
      <c r="C4" s="770" t="str">
        <f>+'ÖN BİLGİ'!F9</f>
        <v xml:space="preserve">Araklı Çankaya Yibo Lojman İnşaatı İşi </v>
      </c>
      <c r="D4" s="771"/>
      <c r="E4" s="771"/>
      <c r="F4" s="771"/>
      <c r="G4" s="772"/>
    </row>
    <row r="5" spans="1:13" x14ac:dyDescent="0.2">
      <c r="A5" s="776" t="s">
        <v>817</v>
      </c>
      <c r="B5" s="777"/>
      <c r="C5" s="778" t="s">
        <v>762</v>
      </c>
      <c r="D5" s="779"/>
      <c r="E5" s="779"/>
      <c r="F5" s="779"/>
      <c r="G5" s="780"/>
    </row>
    <row r="6" spans="1:13" ht="15" thickBot="1" x14ac:dyDescent="0.25">
      <c r="A6" s="781" t="s">
        <v>818</v>
      </c>
      <c r="B6" s="782"/>
      <c r="C6" s="783">
        <v>499000</v>
      </c>
      <c r="D6" s="784"/>
      <c r="E6" s="784"/>
      <c r="F6" s="784"/>
      <c r="G6" s="785"/>
    </row>
    <row r="7" spans="1:13" ht="15" thickBot="1" x14ac:dyDescent="0.25">
      <c r="A7" s="786"/>
      <c r="B7" s="787"/>
      <c r="C7" s="787"/>
      <c r="D7" s="787"/>
      <c r="E7" s="787"/>
      <c r="F7" s="787"/>
      <c r="G7" s="788"/>
    </row>
    <row r="8" spans="1:13" x14ac:dyDescent="0.2">
      <c r="A8" s="463" t="s">
        <v>0</v>
      </c>
      <c r="B8" s="745" t="s">
        <v>819</v>
      </c>
      <c r="C8" s="746"/>
      <c r="D8" s="746"/>
      <c r="E8" s="746"/>
      <c r="F8" s="747"/>
      <c r="G8" s="471">
        <f>+'yapılan işler listesi'!F13</f>
        <v>499000.49</v>
      </c>
    </row>
    <row r="9" spans="1:13" x14ac:dyDescent="0.2">
      <c r="A9" s="464" t="s">
        <v>1</v>
      </c>
      <c r="B9" s="731" t="s">
        <v>820</v>
      </c>
      <c r="C9" s="732"/>
      <c r="D9" s="732"/>
      <c r="E9" s="732"/>
      <c r="F9" s="733"/>
      <c r="G9" s="465" t="s">
        <v>864</v>
      </c>
    </row>
    <row r="10" spans="1:13" x14ac:dyDescent="0.2">
      <c r="A10" s="466" t="s">
        <v>2</v>
      </c>
      <c r="B10" s="731" t="s">
        <v>821</v>
      </c>
      <c r="C10" s="732"/>
      <c r="D10" s="467">
        <v>15051.77</v>
      </c>
      <c r="E10" s="468" t="s">
        <v>822</v>
      </c>
      <c r="F10" s="469">
        <v>14781.66</v>
      </c>
      <c r="G10" s="470">
        <f>ROUND(D10/F10,4)</f>
        <v>1.0183</v>
      </c>
    </row>
    <row r="11" spans="1:13" x14ac:dyDescent="0.2">
      <c r="A11" s="464" t="s">
        <v>3</v>
      </c>
      <c r="B11" s="731" t="s">
        <v>823</v>
      </c>
      <c r="C11" s="732"/>
      <c r="D11" s="732"/>
      <c r="E11" s="732"/>
      <c r="F11" s="733"/>
      <c r="G11" s="471">
        <f>G8*G10</f>
        <v>508132.198967</v>
      </c>
    </row>
    <row r="12" spans="1:13" ht="15" thickBot="1" x14ac:dyDescent="0.25">
      <c r="A12" s="472" t="s">
        <v>4</v>
      </c>
      <c r="B12" s="773" t="s">
        <v>846</v>
      </c>
      <c r="C12" s="774"/>
      <c r="D12" s="774"/>
      <c r="E12" s="774"/>
      <c r="F12" s="775"/>
      <c r="G12" s="473">
        <v>3</v>
      </c>
    </row>
    <row r="13" spans="1:13" ht="15" thickBot="1" x14ac:dyDescent="0.25">
      <c r="A13" s="477" t="s">
        <v>5</v>
      </c>
      <c r="B13" s="728" t="s">
        <v>847</v>
      </c>
      <c r="C13" s="729"/>
      <c r="D13" s="729"/>
      <c r="E13" s="729"/>
      <c r="F13" s="730"/>
      <c r="G13" s="509">
        <f>G11/100*G12</f>
        <v>15243.965969010002</v>
      </c>
      <c r="I13" s="748"/>
      <c r="J13" s="748"/>
      <c r="K13" s="748"/>
      <c r="L13" s="748"/>
      <c r="M13" s="748"/>
    </row>
    <row r="14" spans="1:13" ht="15" thickBot="1" x14ac:dyDescent="0.25">
      <c r="A14" s="749"/>
      <c r="B14" s="750"/>
      <c r="C14" s="750"/>
      <c r="D14" s="750"/>
      <c r="E14" s="750"/>
      <c r="F14" s="750"/>
      <c r="G14" s="751"/>
    </row>
    <row r="15" spans="1:13" ht="15" thickBot="1" x14ac:dyDescent="0.25">
      <c r="A15" s="477" t="s">
        <v>6</v>
      </c>
      <c r="B15" s="728" t="s">
        <v>825</v>
      </c>
      <c r="C15" s="729"/>
      <c r="D15" s="729"/>
      <c r="E15" s="729"/>
      <c r="F15" s="730"/>
      <c r="G15" s="509">
        <f>+SUM(G16:G27)</f>
        <v>6052.9848107400003</v>
      </c>
    </row>
    <row r="16" spans="1:13" x14ac:dyDescent="0.2">
      <c r="A16" s="507" t="s">
        <v>826</v>
      </c>
      <c r="B16" s="752" t="s">
        <v>827</v>
      </c>
      <c r="C16" s="753"/>
      <c r="D16" s="753"/>
      <c r="E16" s="753"/>
      <c r="F16" s="754"/>
      <c r="G16" s="508">
        <v>2863.55</v>
      </c>
    </row>
    <row r="17" spans="1:7" x14ac:dyDescent="0.2">
      <c r="A17" s="464" t="s">
        <v>828</v>
      </c>
      <c r="B17" s="731" t="s">
        <v>829</v>
      </c>
      <c r="C17" s="732"/>
      <c r="D17" s="732"/>
      <c r="E17" s="732"/>
      <c r="F17" s="733"/>
      <c r="G17" s="471">
        <v>947.44424320000007</v>
      </c>
    </row>
    <row r="18" spans="1:7" x14ac:dyDescent="0.2">
      <c r="A18" s="464" t="s">
        <v>830</v>
      </c>
      <c r="B18" s="731" t="s">
        <v>861</v>
      </c>
      <c r="C18" s="732"/>
      <c r="D18" s="732"/>
      <c r="E18" s="732"/>
      <c r="F18" s="733"/>
      <c r="G18" s="471">
        <v>999</v>
      </c>
    </row>
    <row r="19" spans="1:7" x14ac:dyDescent="0.2">
      <c r="A19" s="464" t="s">
        <v>831</v>
      </c>
      <c r="B19" s="731" t="s">
        <v>865</v>
      </c>
      <c r="C19" s="732"/>
      <c r="D19" s="732"/>
      <c r="E19" s="732"/>
      <c r="F19" s="733"/>
      <c r="G19" s="471">
        <v>1242.9905675399996</v>
      </c>
    </row>
    <row r="20" spans="1:7" x14ac:dyDescent="0.2">
      <c r="A20" s="464" t="s">
        <v>832</v>
      </c>
      <c r="B20" s="731"/>
      <c r="C20" s="732"/>
      <c r="D20" s="732"/>
      <c r="E20" s="732"/>
      <c r="F20" s="733"/>
      <c r="G20" s="471"/>
    </row>
    <row r="21" spans="1:7" x14ac:dyDescent="0.2">
      <c r="A21" s="464" t="s">
        <v>833</v>
      </c>
      <c r="B21" s="731"/>
      <c r="C21" s="732"/>
      <c r="D21" s="732"/>
      <c r="E21" s="732"/>
      <c r="F21" s="733"/>
      <c r="G21" s="471"/>
    </row>
    <row r="22" spans="1:7" x14ac:dyDescent="0.2">
      <c r="A22" s="464" t="s">
        <v>834</v>
      </c>
      <c r="B22" s="731"/>
      <c r="C22" s="732"/>
      <c r="D22" s="732"/>
      <c r="E22" s="732"/>
      <c r="F22" s="733"/>
      <c r="G22" s="471"/>
    </row>
    <row r="23" spans="1:7" x14ac:dyDescent="0.2">
      <c r="A23" s="464" t="s">
        <v>835</v>
      </c>
      <c r="B23" s="731"/>
      <c r="C23" s="732"/>
      <c r="D23" s="732"/>
      <c r="E23" s="732"/>
      <c r="F23" s="733"/>
      <c r="G23" s="506"/>
    </row>
    <row r="24" spans="1:7" x14ac:dyDescent="0.2">
      <c r="A24" s="464" t="s">
        <v>836</v>
      </c>
      <c r="B24" s="731"/>
      <c r="C24" s="732"/>
      <c r="D24" s="732"/>
      <c r="E24" s="732"/>
      <c r="F24" s="733"/>
      <c r="G24" s="471"/>
    </row>
    <row r="25" spans="1:7" x14ac:dyDescent="0.2">
      <c r="A25" s="464" t="s">
        <v>837</v>
      </c>
      <c r="B25" s="731"/>
      <c r="C25" s="732"/>
      <c r="D25" s="732"/>
      <c r="E25" s="732"/>
      <c r="F25" s="733"/>
      <c r="G25" s="471"/>
    </row>
    <row r="26" spans="1:7" x14ac:dyDescent="0.2">
      <c r="A26" s="464" t="s">
        <v>838</v>
      </c>
      <c r="B26" s="731"/>
      <c r="C26" s="732"/>
      <c r="D26" s="732"/>
      <c r="E26" s="732"/>
      <c r="F26" s="733"/>
      <c r="G26" s="471"/>
    </row>
    <row r="27" spans="1:7" ht="15" thickBot="1" x14ac:dyDescent="0.25">
      <c r="A27" s="474" t="s">
        <v>839</v>
      </c>
      <c r="B27" s="755" t="s">
        <v>840</v>
      </c>
      <c r="C27" s="756"/>
      <c r="D27" s="756"/>
      <c r="E27" s="756"/>
      <c r="F27" s="757"/>
      <c r="G27" s="475"/>
    </row>
    <row r="28" spans="1:7" ht="15" thickBot="1" x14ac:dyDescent="0.25">
      <c r="A28" s="749"/>
      <c r="B28" s="750"/>
      <c r="C28" s="750"/>
      <c r="D28" s="750"/>
      <c r="E28" s="750"/>
      <c r="F28" s="750"/>
      <c r="G28" s="751"/>
    </row>
    <row r="29" spans="1:7" ht="15" thickBot="1" x14ac:dyDescent="0.25">
      <c r="A29" s="477" t="s">
        <v>8</v>
      </c>
      <c r="B29" s="728" t="s">
        <v>841</v>
      </c>
      <c r="C29" s="729"/>
      <c r="D29" s="729"/>
      <c r="E29" s="729"/>
      <c r="F29" s="730"/>
      <c r="G29" s="509">
        <f>+G13-G15</f>
        <v>9190.9811582700022</v>
      </c>
    </row>
    <row r="30" spans="1:7" x14ac:dyDescent="0.2">
      <c r="A30" s="741"/>
      <c r="B30" s="742"/>
      <c r="C30" s="742"/>
      <c r="D30" s="742"/>
      <c r="E30" s="742"/>
      <c r="F30" s="742"/>
      <c r="G30" s="743"/>
    </row>
    <row r="31" spans="1:7" x14ac:dyDescent="0.2">
      <c r="A31" s="478"/>
      <c r="B31" s="744" t="s">
        <v>53</v>
      </c>
      <c r="C31" s="744"/>
      <c r="D31" s="744"/>
      <c r="E31" s="744"/>
      <c r="F31" s="744"/>
      <c r="G31" s="476"/>
    </row>
    <row r="32" spans="1:7" x14ac:dyDescent="0.2">
      <c r="A32" s="478"/>
      <c r="B32" s="734" t="s">
        <v>824</v>
      </c>
      <c r="C32" s="734"/>
      <c r="D32" s="734"/>
      <c r="E32" s="734"/>
      <c r="F32" s="734"/>
      <c r="G32" s="476">
        <f>G13</f>
        <v>15243.965969010002</v>
      </c>
    </row>
    <row r="33" spans="1:7" x14ac:dyDescent="0.2">
      <c r="A33" s="478"/>
      <c r="B33" s="734" t="s">
        <v>842</v>
      </c>
      <c r="C33" s="734"/>
      <c r="D33" s="734"/>
      <c r="E33" s="734"/>
      <c r="F33" s="734"/>
      <c r="G33" s="476">
        <v>0</v>
      </c>
    </row>
    <row r="34" spans="1:7" x14ac:dyDescent="0.2">
      <c r="A34" s="478"/>
      <c r="B34" s="734" t="s">
        <v>843</v>
      </c>
      <c r="C34" s="734"/>
      <c r="D34" s="734"/>
      <c r="E34" s="734"/>
      <c r="F34" s="734"/>
      <c r="G34" s="476">
        <v>0</v>
      </c>
    </row>
    <row r="35" spans="1:7" x14ac:dyDescent="0.2">
      <c r="A35" s="478"/>
      <c r="B35" s="734" t="s">
        <v>844</v>
      </c>
      <c r="C35" s="734"/>
      <c r="D35" s="734"/>
      <c r="E35" s="734"/>
      <c r="F35" s="734"/>
      <c r="G35" s="476">
        <f>SUM(G32:G34)</f>
        <v>15243.965969010002</v>
      </c>
    </row>
    <row r="36" spans="1:7" x14ac:dyDescent="0.2">
      <c r="A36" s="735"/>
      <c r="B36" s="736"/>
      <c r="C36" s="736"/>
      <c r="D36" s="736"/>
      <c r="E36" s="736"/>
      <c r="F36" s="736"/>
      <c r="G36" s="737"/>
    </row>
    <row r="37" spans="1:7" ht="15" thickBot="1" x14ac:dyDescent="0.25">
      <c r="A37" s="738"/>
      <c r="B37" s="739"/>
      <c r="C37" s="739"/>
      <c r="D37" s="739"/>
      <c r="E37" s="739"/>
      <c r="F37" s="739"/>
      <c r="G37" s="740"/>
    </row>
    <row r="38" spans="1:7" x14ac:dyDescent="0.2">
      <c r="B38" s="295"/>
    </row>
    <row r="39" spans="1:7" x14ac:dyDescent="0.2">
      <c r="B39" s="295"/>
      <c r="C39" s="491" t="s">
        <v>292</v>
      </c>
      <c r="E39" s="758" t="s">
        <v>775</v>
      </c>
      <c r="F39" s="758"/>
      <c r="G39" s="522" t="s">
        <v>777</v>
      </c>
    </row>
    <row r="40" spans="1:7" x14ac:dyDescent="0.2">
      <c r="B40" s="295"/>
      <c r="C40" s="491" t="s">
        <v>760</v>
      </c>
      <c r="E40" s="758" t="s">
        <v>776</v>
      </c>
      <c r="F40" s="758"/>
      <c r="G40" s="522" t="s">
        <v>778</v>
      </c>
    </row>
    <row r="41" spans="1:7" x14ac:dyDescent="0.2">
      <c r="B41" s="295"/>
    </row>
    <row r="42" spans="1:7" x14ac:dyDescent="0.2">
      <c r="B42" s="295"/>
    </row>
    <row r="43" spans="1:7" x14ac:dyDescent="0.2">
      <c r="B43" s="295"/>
    </row>
    <row r="44" spans="1:7" x14ac:dyDescent="0.2">
      <c r="B44" s="295"/>
    </row>
    <row r="45" spans="1:7" x14ac:dyDescent="0.2">
      <c r="B45" s="295"/>
    </row>
    <row r="46" spans="1:7" x14ac:dyDescent="0.2">
      <c r="B46" s="295"/>
    </row>
    <row r="47" spans="1:7" x14ac:dyDescent="0.2">
      <c r="B47" s="295"/>
    </row>
    <row r="48" spans="1:7" x14ac:dyDescent="0.2">
      <c r="B48" s="295"/>
    </row>
    <row r="49" spans="2:7" x14ac:dyDescent="0.2">
      <c r="B49" s="295"/>
    </row>
    <row r="50" spans="2:7" x14ac:dyDescent="0.2">
      <c r="B50" s="295"/>
    </row>
    <row r="51" spans="2:7" x14ac:dyDescent="0.2">
      <c r="B51" s="295"/>
    </row>
    <row r="52" spans="2:7" x14ac:dyDescent="0.2">
      <c r="B52" s="295"/>
    </row>
    <row r="53" spans="2:7" x14ac:dyDescent="0.2">
      <c r="B53" s="295"/>
    </row>
    <row r="54" spans="2:7" x14ac:dyDescent="0.2">
      <c r="B54" s="295"/>
    </row>
    <row r="55" spans="2:7" x14ac:dyDescent="0.2">
      <c r="B55" s="295"/>
    </row>
    <row r="56" spans="2:7" x14ac:dyDescent="0.2">
      <c r="B56" s="479"/>
      <c r="C56" s="479"/>
      <c r="D56" s="479"/>
      <c r="E56" s="479"/>
      <c r="F56" s="479"/>
      <c r="G56" s="479"/>
    </row>
  </sheetData>
  <mergeCells count="43">
    <mergeCell ref="E39:F39"/>
    <mergeCell ref="E40:F40"/>
    <mergeCell ref="A1:G1"/>
    <mergeCell ref="A2:G2"/>
    <mergeCell ref="A3:G3"/>
    <mergeCell ref="A4:B4"/>
    <mergeCell ref="C4:G4"/>
    <mergeCell ref="B10:C10"/>
    <mergeCell ref="B11:F11"/>
    <mergeCell ref="B12:F12"/>
    <mergeCell ref="B13:F13"/>
    <mergeCell ref="A5:B5"/>
    <mergeCell ref="C5:G5"/>
    <mergeCell ref="A6:B6"/>
    <mergeCell ref="C6:G6"/>
    <mergeCell ref="A7:G7"/>
    <mergeCell ref="B8:F8"/>
    <mergeCell ref="B9:F9"/>
    <mergeCell ref="I13:M13"/>
    <mergeCell ref="A14:G14"/>
    <mergeCell ref="A28:G28"/>
    <mergeCell ref="B16:F16"/>
    <mergeCell ref="B17:F17"/>
    <mergeCell ref="B19:F19"/>
    <mergeCell ref="B20:F20"/>
    <mergeCell ref="B21:F21"/>
    <mergeCell ref="B22:F22"/>
    <mergeCell ref="B23:F23"/>
    <mergeCell ref="B24:F24"/>
    <mergeCell ref="B25:F25"/>
    <mergeCell ref="B26:F26"/>
    <mergeCell ref="B27:F27"/>
    <mergeCell ref="B15:F15"/>
    <mergeCell ref="B18:F18"/>
    <mergeCell ref="B35:F35"/>
    <mergeCell ref="A36:G36"/>
    <mergeCell ref="A37:G37"/>
    <mergeCell ref="B29:F29"/>
    <mergeCell ref="A30:G30"/>
    <mergeCell ref="B31:F31"/>
    <mergeCell ref="B32:F32"/>
    <mergeCell ref="B33:F33"/>
    <mergeCell ref="B34:F34"/>
  </mergeCells>
  <pageMargins left="0.70866141732283472" right="0.70866141732283472" top="0.74803149606299213" bottom="0.74803149606299213" header="0.31496062992125984" footer="0.31496062992125984"/>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N24"/>
  <sheetViews>
    <sheetView showGridLines="0" view="pageBreakPreview" zoomScale="85" zoomScaleSheetLayoutView="85" workbookViewId="0">
      <selection activeCell="I12" sqref="I12"/>
    </sheetView>
  </sheetViews>
  <sheetFormatPr defaultRowHeight="11.25" x14ac:dyDescent="0.2"/>
  <cols>
    <col min="1" max="1" width="3.42578125" style="210" customWidth="1"/>
    <col min="2" max="2" width="0.85546875" style="210" customWidth="1"/>
    <col min="3" max="3" width="11" style="210" customWidth="1"/>
    <col min="4" max="4" width="7.85546875" style="215" customWidth="1"/>
    <col min="5" max="5" width="13.42578125" style="210" customWidth="1"/>
    <col min="6" max="6" width="16.42578125" style="216" customWidth="1"/>
    <col min="7" max="7" width="16" style="210" bestFit="1" customWidth="1"/>
    <col min="8" max="8" width="9.140625" style="210"/>
    <col min="9" max="9" width="13.85546875" style="210" bestFit="1" customWidth="1"/>
    <col min="10" max="10" width="14.5703125" style="210" customWidth="1"/>
    <col min="11" max="11" width="15" style="216" customWidth="1"/>
    <col min="12" max="12" width="15.5703125" style="210" customWidth="1"/>
    <col min="13" max="13" width="1.140625" style="210" customWidth="1"/>
    <col min="14" max="14" width="11.7109375" style="210" bestFit="1" customWidth="1"/>
    <col min="15" max="16384" width="9.140625" style="210"/>
  </cols>
  <sheetData>
    <row r="1" spans="3:14" ht="36" customHeight="1" thickBot="1" x14ac:dyDescent="0.25">
      <c r="C1" s="789" t="s">
        <v>14</v>
      </c>
      <c r="D1" s="790"/>
      <c r="E1" s="790"/>
      <c r="F1" s="790"/>
      <c r="G1" s="790"/>
      <c r="H1" s="790"/>
      <c r="I1" s="790"/>
      <c r="J1" s="790"/>
      <c r="K1" s="790"/>
      <c r="L1" s="791"/>
    </row>
    <row r="2" spans="3:14" ht="18.75" customHeight="1" x14ac:dyDescent="0.2">
      <c r="C2" s="792" t="str">
        <f>'ÖN BİLGİ'!F9</f>
        <v xml:space="preserve">Araklı Çankaya Yibo Lojman İnşaatı İşi </v>
      </c>
      <c r="D2" s="793"/>
      <c r="E2" s="793"/>
      <c r="F2" s="793"/>
      <c r="G2" s="793"/>
      <c r="H2" s="793"/>
      <c r="I2" s="793"/>
      <c r="J2" s="793"/>
      <c r="K2" s="423" t="s">
        <v>216</v>
      </c>
      <c r="L2" s="424">
        <v>1</v>
      </c>
    </row>
    <row r="3" spans="3:14" ht="18.75" customHeight="1" thickBot="1" x14ac:dyDescent="0.25">
      <c r="C3" s="794"/>
      <c r="D3" s="795"/>
      <c r="E3" s="795"/>
      <c r="F3" s="795"/>
      <c r="G3" s="795"/>
      <c r="H3" s="795"/>
      <c r="I3" s="795"/>
      <c r="J3" s="795"/>
      <c r="K3" s="425" t="s">
        <v>13</v>
      </c>
      <c r="L3" s="426" t="str">
        <f>+'ÖN BİLGİ'!F6</f>
        <v>5(Beş)</v>
      </c>
    </row>
    <row r="4" spans="3:14" s="211" customFormat="1" ht="63.75" x14ac:dyDescent="0.2">
      <c r="C4" s="532" t="s">
        <v>101</v>
      </c>
      <c r="D4" s="533" t="s">
        <v>13</v>
      </c>
      <c r="E4" s="533" t="s">
        <v>103</v>
      </c>
      <c r="F4" s="534" t="s">
        <v>276</v>
      </c>
      <c r="G4" s="533" t="s">
        <v>275</v>
      </c>
      <c r="H4" s="533" t="s">
        <v>102</v>
      </c>
      <c r="I4" s="533" t="s">
        <v>278</v>
      </c>
      <c r="J4" s="533" t="s">
        <v>277</v>
      </c>
      <c r="K4" s="534" t="s">
        <v>279</v>
      </c>
      <c r="L4" s="535" t="s">
        <v>280</v>
      </c>
    </row>
    <row r="5" spans="3:14" s="212" customFormat="1" ht="28.5" customHeight="1" x14ac:dyDescent="0.2">
      <c r="C5" s="536">
        <v>41095</v>
      </c>
      <c r="D5" s="131" t="s">
        <v>294</v>
      </c>
      <c r="E5" s="276">
        <v>96386.73</v>
      </c>
      <c r="F5" s="276">
        <v>0</v>
      </c>
      <c r="G5" s="277">
        <f>ROUND((E5-F5),2)</f>
        <v>96386.73</v>
      </c>
      <c r="H5" s="132">
        <v>0</v>
      </c>
      <c r="I5" s="132">
        <v>0</v>
      </c>
      <c r="J5" s="132">
        <v>0</v>
      </c>
      <c r="K5" s="132">
        <v>0</v>
      </c>
      <c r="L5" s="537">
        <f>+G5+K5</f>
        <v>96386.73</v>
      </c>
    </row>
    <row r="6" spans="3:14" s="212" customFormat="1" ht="28.5" customHeight="1" x14ac:dyDescent="0.2">
      <c r="C6" s="536">
        <v>41155</v>
      </c>
      <c r="D6" s="131" t="s">
        <v>851</v>
      </c>
      <c r="E6" s="132">
        <v>128355.2</v>
      </c>
      <c r="F6" s="132">
        <v>96386.73</v>
      </c>
      <c r="G6" s="277">
        <f>ROUND((E6-F6),2)</f>
        <v>31968.47</v>
      </c>
      <c r="H6" s="132">
        <v>0</v>
      </c>
      <c r="I6" s="132">
        <v>0</v>
      </c>
      <c r="J6" s="132">
        <v>0</v>
      </c>
      <c r="K6" s="132">
        <v>0</v>
      </c>
      <c r="L6" s="537">
        <f>+G6+K6</f>
        <v>31968.47</v>
      </c>
    </row>
    <row r="7" spans="3:14" s="212" customFormat="1" ht="28.5" customHeight="1" x14ac:dyDescent="0.2">
      <c r="C7" s="536">
        <v>41187</v>
      </c>
      <c r="D7" s="131" t="s">
        <v>858</v>
      </c>
      <c r="E7" s="132">
        <v>160349.17000000001</v>
      </c>
      <c r="F7" s="132">
        <v>128355.2</v>
      </c>
      <c r="G7" s="277">
        <f>ROUND((E7-F7),2)</f>
        <v>31993.97</v>
      </c>
      <c r="H7" s="132">
        <v>0</v>
      </c>
      <c r="I7" s="132">
        <v>0</v>
      </c>
      <c r="J7" s="132">
        <v>0</v>
      </c>
      <c r="K7" s="132">
        <v>0</v>
      </c>
      <c r="L7" s="537">
        <f t="shared" ref="L7:L8" si="0">+G7+K7</f>
        <v>31993.97</v>
      </c>
      <c r="N7" s="213"/>
    </row>
    <row r="8" spans="3:14" s="212" customFormat="1" ht="28.5" customHeight="1" x14ac:dyDescent="0.2">
      <c r="C8" s="536">
        <v>41218</v>
      </c>
      <c r="D8" s="131" t="s">
        <v>868</v>
      </c>
      <c r="E8" s="132">
        <v>201423.74</v>
      </c>
      <c r="F8" s="132">
        <f>+E7</f>
        <v>160349.17000000001</v>
      </c>
      <c r="G8" s="277">
        <f>ROUND((E8-F8),2)</f>
        <v>41074.57</v>
      </c>
      <c r="H8" s="132">
        <v>0</v>
      </c>
      <c r="I8" s="132">
        <v>0</v>
      </c>
      <c r="J8" s="132">
        <v>0</v>
      </c>
      <c r="K8" s="132">
        <v>0</v>
      </c>
      <c r="L8" s="537">
        <f t="shared" si="0"/>
        <v>41074.57</v>
      </c>
      <c r="N8" s="213"/>
    </row>
    <row r="9" spans="3:14" s="212" customFormat="1" ht="28.5" customHeight="1" x14ac:dyDescent="0.2">
      <c r="C9" s="538">
        <f>+'ÖN BİLGİ'!F5</f>
        <v>41248</v>
      </c>
      <c r="D9" s="133" t="str">
        <f>+'ÖN BİLGİ'!F6</f>
        <v>5(Beş)</v>
      </c>
      <c r="E9" s="132">
        <f>+'yapılan işler listesi'!F13</f>
        <v>499000.49</v>
      </c>
      <c r="F9" s="132">
        <f>+E8</f>
        <v>201423.74</v>
      </c>
      <c r="G9" s="277">
        <f>ROUND((E9-F9),2)</f>
        <v>297576.75</v>
      </c>
      <c r="H9" s="132">
        <v>0</v>
      </c>
      <c r="I9" s="132">
        <v>0</v>
      </c>
      <c r="J9" s="132">
        <v>0</v>
      </c>
      <c r="K9" s="132">
        <v>0</v>
      </c>
      <c r="L9" s="537">
        <f t="shared" ref="L9" si="1">+G9+K9</f>
        <v>297576.75</v>
      </c>
    </row>
    <row r="10" spans="3:14" s="212" customFormat="1" ht="28.5" customHeight="1" x14ac:dyDescent="0.2">
      <c r="C10" s="538"/>
      <c r="D10" s="133"/>
      <c r="E10" s="132"/>
      <c r="F10" s="132"/>
      <c r="G10" s="278"/>
      <c r="H10" s="132"/>
      <c r="I10" s="132"/>
      <c r="J10" s="132"/>
      <c r="K10" s="132"/>
      <c r="L10" s="537"/>
    </row>
    <row r="11" spans="3:14" s="212" customFormat="1" ht="28.5" customHeight="1" x14ac:dyDescent="0.2">
      <c r="C11" s="538"/>
      <c r="D11" s="133"/>
      <c r="E11" s="132"/>
      <c r="F11" s="132"/>
      <c r="G11" s="278"/>
      <c r="H11" s="132"/>
      <c r="I11" s="132"/>
      <c r="J11" s="132"/>
      <c r="K11" s="132"/>
      <c r="L11" s="537"/>
    </row>
    <row r="12" spans="3:14" s="214" customFormat="1" ht="28.5" customHeight="1" x14ac:dyDescent="0.2">
      <c r="C12" s="538"/>
      <c r="D12" s="329"/>
      <c r="E12" s="132"/>
      <c r="F12" s="132"/>
      <c r="G12" s="278"/>
      <c r="H12" s="132"/>
      <c r="I12" s="132"/>
      <c r="J12" s="132"/>
      <c r="K12" s="132"/>
      <c r="L12" s="537"/>
    </row>
    <row r="13" spans="3:14" s="214" customFormat="1" ht="28.5" customHeight="1" x14ac:dyDescent="0.2">
      <c r="C13" s="538"/>
      <c r="D13" s="329"/>
      <c r="E13" s="132"/>
      <c r="F13" s="132"/>
      <c r="G13" s="278"/>
      <c r="H13" s="132"/>
      <c r="I13" s="132"/>
      <c r="J13" s="132"/>
      <c r="K13" s="132"/>
      <c r="L13" s="537"/>
    </row>
    <row r="14" spans="3:14" s="214" customFormat="1" ht="28.5" customHeight="1" thickBot="1" x14ac:dyDescent="0.25">
      <c r="C14" s="539"/>
      <c r="D14" s="540"/>
      <c r="E14" s="541"/>
      <c r="F14" s="541"/>
      <c r="G14" s="542"/>
      <c r="H14" s="541"/>
      <c r="I14" s="541"/>
      <c r="J14" s="541"/>
      <c r="K14" s="541"/>
      <c r="L14" s="543"/>
    </row>
    <row r="15" spans="3:14" x14ac:dyDescent="0.2">
      <c r="C15" s="186" t="s">
        <v>67</v>
      </c>
    </row>
    <row r="18" spans="3:13" s="295" customFormat="1" ht="15.95" customHeight="1" x14ac:dyDescent="0.2">
      <c r="D18" s="444" t="s">
        <v>119</v>
      </c>
      <c r="E18" s="444"/>
      <c r="F18" s="444"/>
      <c r="G18" s="445"/>
      <c r="H18" s="796" t="s">
        <v>205</v>
      </c>
      <c r="I18" s="796"/>
      <c r="J18" s="796"/>
      <c r="K18" s="796"/>
      <c r="L18" s="796"/>
      <c r="M18" s="796"/>
    </row>
    <row r="19" spans="3:13" s="295" customFormat="1" ht="15.95" customHeight="1" x14ac:dyDescent="0.2">
      <c r="D19" s="292"/>
      <c r="E19" s="292"/>
      <c r="F19" s="292"/>
      <c r="G19" s="293"/>
      <c r="H19" s="294"/>
      <c r="I19" s="294"/>
      <c r="J19" s="294"/>
      <c r="K19" s="294"/>
    </row>
    <row r="20" spans="3:13" s="295" customFormat="1" ht="15" x14ac:dyDescent="0.2">
      <c r="C20" s="198" t="str">
        <f>+'ÖN BİLGİ'!F13</f>
        <v>Özbulut Yapı Taah.İnş.Gıda San.ve Tic.Ltd.Şti.</v>
      </c>
      <c r="D20" s="190"/>
      <c r="E20" s="190"/>
      <c r="F20" s="190"/>
      <c r="G20" s="198"/>
      <c r="H20" s="724" t="str">
        <f>+'ÖN BİLGİ'!F30</f>
        <v>Elvan HAMZAÇEBİ</v>
      </c>
      <c r="I20" s="724"/>
      <c r="J20" s="521" t="s">
        <v>775</v>
      </c>
      <c r="K20" s="797" t="s">
        <v>777</v>
      </c>
      <c r="L20" s="797"/>
    </row>
    <row r="21" spans="3:13" s="295" customFormat="1" ht="15" customHeight="1" x14ac:dyDescent="0.2">
      <c r="D21" s="190"/>
      <c r="E21" s="190"/>
      <c r="F21" s="724"/>
      <c r="G21" s="724"/>
      <c r="H21" s="724" t="str">
        <f>+'ÖN BİLGİ'!F31</f>
        <v xml:space="preserve">  İnş.Müh.</v>
      </c>
      <c r="I21" s="724"/>
      <c r="J21" s="521" t="s">
        <v>776</v>
      </c>
      <c r="K21" s="797" t="s">
        <v>778</v>
      </c>
      <c r="L21" s="797"/>
    </row>
    <row r="22" spans="3:13" ht="15" x14ac:dyDescent="0.2">
      <c r="D22" s="724"/>
      <c r="E22" s="724"/>
      <c r="F22" s="724"/>
      <c r="G22" s="724"/>
      <c r="H22" s="190"/>
      <c r="I22" s="446"/>
      <c r="J22" s="190"/>
      <c r="K22" s="198"/>
      <c r="L22" s="190"/>
    </row>
    <row r="23" spans="3:13" x14ac:dyDescent="0.2">
      <c r="F23" s="217"/>
      <c r="H23" s="216"/>
      <c r="J23" s="216"/>
    </row>
    <row r="24" spans="3:13" x14ac:dyDescent="0.2">
      <c r="F24" s="217"/>
      <c r="G24" s="215"/>
      <c r="H24" s="218"/>
      <c r="I24" s="215"/>
      <c r="J24" s="215"/>
    </row>
  </sheetData>
  <customSheetViews>
    <customSheetView guid="{B697A606-4F7D-4003-A961-6D85D54ED7E6}" showPageBreaks="1" showGridLines="0" showRuler="0">
      <selection activeCell="F7" sqref="F7"/>
      <pageMargins left="0.84" right="0.75" top="1" bottom="1" header="0.5" footer="0.5"/>
      <pageSetup paperSize="9" orientation="landscape" r:id="rId1"/>
      <headerFooter alignWithMargins="0"/>
    </customSheetView>
    <customSheetView guid="{A0FBF4F0-B30E-4ACB-A5FE-211E2EFA502B}" showGridLines="0" showRuler="0">
      <selection activeCell="M36" sqref="M36"/>
      <pageMargins left="0.84" right="0.75" top="1" bottom="1" header="0.5" footer="0.5"/>
      <pageSetup paperSize="9" orientation="landscape" r:id="rId2"/>
      <headerFooter alignWithMargins="0"/>
    </customSheetView>
  </customSheetViews>
  <mergeCells count="10">
    <mergeCell ref="D22:E22"/>
    <mergeCell ref="C1:L1"/>
    <mergeCell ref="C2:J3"/>
    <mergeCell ref="F21:G21"/>
    <mergeCell ref="F22:G22"/>
    <mergeCell ref="H18:M18"/>
    <mergeCell ref="H20:I20"/>
    <mergeCell ref="H21:I21"/>
    <mergeCell ref="K20:L20"/>
    <mergeCell ref="K21:L21"/>
  </mergeCells>
  <phoneticPr fontId="10" type="noConversion"/>
  <printOptions horizontalCentered="1"/>
  <pageMargins left="1.6929133858267718" right="1.6929133858267718" top="0.67" bottom="2.0078740157480315" header="0.51181102362204722" footer="0.51181102362204722"/>
  <pageSetup paperSize="9" scale="78" orientation="landscape" r:id="rId3"/>
  <headerFooter alignWithMargins="0"/>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5"/>
  <sheetViews>
    <sheetView showGridLines="0" view="pageBreakPreview" zoomScale="85" zoomScaleSheetLayoutView="85" workbookViewId="0">
      <selection activeCell="D13" sqref="D13"/>
    </sheetView>
  </sheetViews>
  <sheetFormatPr defaultRowHeight="11.25" x14ac:dyDescent="0.2"/>
  <cols>
    <col min="1" max="1" width="5" style="2" customWidth="1"/>
    <col min="2" max="2" width="39.7109375" style="3" customWidth="1"/>
    <col min="3" max="3" width="21.28515625" style="4" customWidth="1"/>
    <col min="4" max="4" width="18.5703125" style="4" customWidth="1"/>
    <col min="5" max="5" width="13.7109375" style="4" customWidth="1"/>
    <col min="6" max="6" width="10.5703125" style="3" customWidth="1"/>
    <col min="7" max="16384" width="9.140625" style="3"/>
  </cols>
  <sheetData>
    <row r="1" spans="1:11" ht="42.75" customHeight="1" thickBot="1" x14ac:dyDescent="0.25">
      <c r="A1" s="800" t="s">
        <v>89</v>
      </c>
      <c r="B1" s="800"/>
      <c r="C1" s="800"/>
      <c r="D1" s="800"/>
      <c r="E1" s="800"/>
      <c r="F1" s="800"/>
    </row>
    <row r="2" spans="1:11" ht="24" customHeight="1" x14ac:dyDescent="0.2">
      <c r="A2" s="801" t="str">
        <f>'ÖN BİLGİ'!F9</f>
        <v xml:space="preserve">Araklı Çankaya Yibo Lojman İnşaatı İşi </v>
      </c>
      <c r="B2" s="802"/>
      <c r="C2" s="802"/>
      <c r="D2" s="802"/>
      <c r="E2" s="130" t="s">
        <v>218</v>
      </c>
      <c r="F2" s="219">
        <v>1</v>
      </c>
    </row>
    <row r="3" spans="1:11" ht="24.75" customHeight="1" thickBot="1" x14ac:dyDescent="0.25">
      <c r="A3" s="803"/>
      <c r="B3" s="804"/>
      <c r="C3" s="804"/>
      <c r="D3" s="804"/>
      <c r="E3" s="129" t="s">
        <v>217</v>
      </c>
      <c r="F3" s="220" t="str">
        <f>+'ÖN BİLGİ'!F6</f>
        <v>5(Beş)</v>
      </c>
    </row>
    <row r="4" spans="1:11" ht="45" x14ac:dyDescent="0.2">
      <c r="A4" s="175" t="s">
        <v>58</v>
      </c>
      <c r="B4" s="222" t="s">
        <v>88</v>
      </c>
      <c r="C4" s="221" t="s">
        <v>122</v>
      </c>
      <c r="D4" s="221" t="s">
        <v>274</v>
      </c>
      <c r="E4" s="805" t="s">
        <v>123</v>
      </c>
      <c r="F4" s="806"/>
    </row>
    <row r="5" spans="1:11" ht="24.95" customHeight="1" x14ac:dyDescent="0.2">
      <c r="A5" s="137">
        <v>1</v>
      </c>
      <c r="B5" s="361" t="s">
        <v>767</v>
      </c>
      <c r="C5" s="134">
        <f>+'yapılan işler listesi'!F6</f>
        <v>23294.82</v>
      </c>
      <c r="D5" s="134">
        <v>0</v>
      </c>
      <c r="E5" s="798">
        <f t="shared" ref="E5:E11" si="0">ROUND((C5+D5),2)</f>
        <v>23294.82</v>
      </c>
      <c r="F5" s="799"/>
    </row>
    <row r="6" spans="1:11" ht="24.95" customHeight="1" x14ac:dyDescent="0.2">
      <c r="A6" s="137">
        <v>2</v>
      </c>
      <c r="B6" s="361" t="s">
        <v>768</v>
      </c>
      <c r="C6" s="262">
        <f>+'yapılan işler listesi'!F7</f>
        <v>268814.78999999998</v>
      </c>
      <c r="D6" s="134">
        <v>0</v>
      </c>
      <c r="E6" s="798">
        <f t="shared" si="0"/>
        <v>268814.78999999998</v>
      </c>
      <c r="F6" s="799"/>
    </row>
    <row r="7" spans="1:11" ht="24.95" customHeight="1" x14ac:dyDescent="0.2">
      <c r="A7" s="137">
        <v>3</v>
      </c>
      <c r="B7" s="135" t="s">
        <v>763</v>
      </c>
      <c r="C7" s="262">
        <f>+'yapılan işler listesi'!F8</f>
        <v>109563.93</v>
      </c>
      <c r="D7" s="134">
        <v>0</v>
      </c>
      <c r="E7" s="798">
        <f t="shared" si="0"/>
        <v>109563.93</v>
      </c>
      <c r="F7" s="799"/>
    </row>
    <row r="8" spans="1:11" ht="24.95" customHeight="1" x14ac:dyDescent="0.2">
      <c r="A8" s="137">
        <v>4</v>
      </c>
      <c r="B8" s="135" t="s">
        <v>758</v>
      </c>
      <c r="C8" s="262">
        <f>+'yapılan işler listesi'!F9</f>
        <v>26991.41</v>
      </c>
      <c r="D8" s="134">
        <v>0</v>
      </c>
      <c r="E8" s="798">
        <f t="shared" si="0"/>
        <v>26991.41</v>
      </c>
      <c r="F8" s="799"/>
    </row>
    <row r="9" spans="1:11" ht="24.95" customHeight="1" x14ac:dyDescent="0.2">
      <c r="A9" s="137">
        <v>5</v>
      </c>
      <c r="B9" s="135" t="s">
        <v>759</v>
      </c>
      <c r="C9" s="262">
        <f>+'yapılan işler listesi'!F10</f>
        <v>28592.2</v>
      </c>
      <c r="D9" s="134">
        <v>0</v>
      </c>
      <c r="E9" s="798">
        <f t="shared" si="0"/>
        <v>28592.2</v>
      </c>
      <c r="F9" s="799"/>
    </row>
    <row r="10" spans="1:11" ht="24.95" customHeight="1" x14ac:dyDescent="0.2">
      <c r="A10" s="137">
        <v>6</v>
      </c>
      <c r="B10" s="135" t="s">
        <v>210</v>
      </c>
      <c r="C10" s="262">
        <f>+'yapılan işler listesi'!F11</f>
        <v>22094.22</v>
      </c>
      <c r="D10" s="134">
        <v>0</v>
      </c>
      <c r="E10" s="798">
        <f t="shared" si="0"/>
        <v>22094.22</v>
      </c>
      <c r="F10" s="799"/>
    </row>
    <row r="11" spans="1:11" ht="24.95" customHeight="1" x14ac:dyDescent="0.2">
      <c r="A11" s="137">
        <v>7</v>
      </c>
      <c r="B11" s="135" t="s">
        <v>211</v>
      </c>
      <c r="C11" s="262">
        <f>+'yapılan işler listesi'!F12</f>
        <v>19649.12</v>
      </c>
      <c r="D11" s="134">
        <v>0</v>
      </c>
      <c r="E11" s="798">
        <f t="shared" si="0"/>
        <v>19649.12</v>
      </c>
      <c r="F11" s="799"/>
    </row>
    <row r="12" spans="1:11" ht="24.95" customHeight="1" x14ac:dyDescent="0.2">
      <c r="A12" s="138"/>
      <c r="B12" s="327" t="s">
        <v>194</v>
      </c>
      <c r="C12" s="328">
        <f>SUM(C5:C11)</f>
        <v>499000.49</v>
      </c>
      <c r="D12" s="328">
        <f>SUM(D5:D11)</f>
        <v>0</v>
      </c>
      <c r="E12" s="798"/>
      <c r="F12" s="799"/>
    </row>
    <row r="13" spans="1:11" ht="24.95" customHeight="1" x14ac:dyDescent="0.2">
      <c r="A13" s="138"/>
      <c r="B13" s="135"/>
      <c r="C13" s="136"/>
      <c r="D13" s="136"/>
      <c r="E13" s="810"/>
      <c r="F13" s="811"/>
    </row>
    <row r="14" spans="1:11" ht="24.95" customHeight="1" thickBot="1" x14ac:dyDescent="0.25">
      <c r="A14" s="139" t="s">
        <v>0</v>
      </c>
      <c r="B14" s="807" t="s">
        <v>203</v>
      </c>
      <c r="C14" s="807"/>
      <c r="D14" s="807"/>
      <c r="E14" s="808">
        <f>ROUND(SUM(E5:F11),2)</f>
        <v>499000.49</v>
      </c>
      <c r="F14" s="809"/>
    </row>
    <row r="15" spans="1:11" ht="15" x14ac:dyDescent="0.2">
      <c r="A15" s="80"/>
      <c r="B15" s="5"/>
      <c r="H15" s="78"/>
      <c r="K15" s="56"/>
    </row>
    <row r="16" spans="1:11" ht="18" x14ac:dyDescent="0.25">
      <c r="A16" s="80"/>
      <c r="B16" s="441" t="str">
        <f>+'Hakediş Özeti'!D18</f>
        <v>Yüklenici</v>
      </c>
      <c r="C16" s="442"/>
      <c r="D16" s="442" t="s">
        <v>205</v>
      </c>
      <c r="H16" s="78"/>
      <c r="K16" s="83"/>
    </row>
    <row r="17" spans="1:11" ht="12.75" x14ac:dyDescent="0.2">
      <c r="A17" s="120"/>
      <c r="B17" s="81"/>
      <c r="H17" s="84"/>
      <c r="K17" s="84"/>
    </row>
    <row r="18" spans="1:11" ht="15" x14ac:dyDescent="0.2">
      <c r="B18" s="440" t="s">
        <v>770</v>
      </c>
      <c r="C18" s="443" t="s">
        <v>292</v>
      </c>
      <c r="D18" s="521" t="s">
        <v>775</v>
      </c>
      <c r="E18" s="523" t="s">
        <v>777</v>
      </c>
      <c r="F18" s="439"/>
    </row>
    <row r="19" spans="1:11" ht="15" x14ac:dyDescent="0.2">
      <c r="B19" s="440" t="s">
        <v>771</v>
      </c>
      <c r="C19" s="443" t="s">
        <v>760</v>
      </c>
      <c r="D19" s="521" t="s">
        <v>776</v>
      </c>
      <c r="E19" s="524" t="s">
        <v>778</v>
      </c>
      <c r="F19" s="440"/>
    </row>
    <row r="24" spans="1:11" ht="15" x14ac:dyDescent="0.2">
      <c r="C24" s="55"/>
      <c r="D24" s="55"/>
      <c r="E24" s="55"/>
    </row>
    <row r="25" spans="1:11" ht="15" x14ac:dyDescent="0.2">
      <c r="C25" s="55"/>
      <c r="D25" s="55"/>
      <c r="E25" s="55"/>
    </row>
  </sheetData>
  <customSheetViews>
    <customSheetView guid="{B697A606-4F7D-4003-A961-6D85D54ED7E6}" showPageBreaks="1" showGridLines="0" showRuler="0" topLeftCell="A15">
      <selection activeCell="D23" sqref="D23"/>
      <pageMargins left="0.99" right="0.75" top="1" bottom="1" header="0.5" footer="0.5"/>
      <pageSetup paperSize="9" scale="80" orientation="portrait" r:id="rId1"/>
      <headerFooter alignWithMargins="0"/>
    </customSheetView>
    <customSheetView guid="{A0FBF4F0-B30E-4ACB-A5FE-211E2EFA502B}" showGridLines="0" showRuler="0" topLeftCell="A17">
      <selection activeCell="B25" sqref="B25"/>
      <pageMargins left="0.99" right="0.75" top="1" bottom="1" header="0.5" footer="0.5"/>
      <pageSetup paperSize="9" scale="80" orientation="portrait" r:id="rId2"/>
      <headerFooter alignWithMargins="0"/>
    </customSheetView>
  </customSheetViews>
  <mergeCells count="14">
    <mergeCell ref="E9:F9"/>
    <mergeCell ref="A1:F1"/>
    <mergeCell ref="A2:D3"/>
    <mergeCell ref="E4:F4"/>
    <mergeCell ref="B14:D14"/>
    <mergeCell ref="E5:F5"/>
    <mergeCell ref="E6:F6"/>
    <mergeCell ref="E7:F7"/>
    <mergeCell ref="E12:F12"/>
    <mergeCell ref="E11:F11"/>
    <mergeCell ref="E8:F8"/>
    <mergeCell ref="E10:F10"/>
    <mergeCell ref="E14:F14"/>
    <mergeCell ref="E13:F13"/>
  </mergeCells>
  <phoneticPr fontId="10" type="noConversion"/>
  <printOptions horizontalCentered="1"/>
  <pageMargins left="0.49" right="0.95" top="0.9" bottom="0.73" header="0.51181102362204722" footer="0.51181102362204722"/>
  <pageSetup paperSize="9" scale="80" orientation="portrait"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51"/>
  <sheetViews>
    <sheetView showGridLines="0" view="pageBreakPreview" zoomScale="85" zoomScaleSheetLayoutView="85" workbookViewId="0">
      <selection activeCell="N13" sqref="N13"/>
    </sheetView>
  </sheetViews>
  <sheetFormatPr defaultRowHeight="12.75" x14ac:dyDescent="0.2"/>
  <cols>
    <col min="1" max="1" width="9.140625" style="65"/>
    <col min="2" max="2" width="6" style="188" customWidth="1"/>
    <col min="3" max="3" width="9.28515625" style="174" customWidth="1"/>
    <col min="4" max="4" width="26" style="174" customWidth="1"/>
    <col min="5" max="5" width="42.7109375" style="182" customWidth="1"/>
    <col min="6" max="6" width="14.28515625" style="181" customWidth="1"/>
    <col min="7" max="7" width="10.85546875" style="181" customWidth="1"/>
    <col min="8" max="16384" width="9.140625" style="65"/>
  </cols>
  <sheetData>
    <row r="1" spans="2:8" ht="25.5" customHeight="1" x14ac:dyDescent="0.2">
      <c r="B1" s="845" t="s">
        <v>19</v>
      </c>
      <c r="C1" s="846"/>
      <c r="D1" s="846"/>
      <c r="E1" s="846"/>
      <c r="F1" s="846"/>
      <c r="G1" s="847"/>
    </row>
    <row r="2" spans="2:8" ht="45" customHeight="1" thickBot="1" x14ac:dyDescent="0.25">
      <c r="B2" s="850" t="str">
        <f>'ÖN BİLGİ'!F9</f>
        <v xml:space="preserve">Araklı Çankaya Yibo Lojman İnşaatı İşi </v>
      </c>
      <c r="C2" s="851"/>
      <c r="D2" s="851"/>
      <c r="E2" s="851"/>
      <c r="F2" s="261" t="s">
        <v>13</v>
      </c>
      <c r="G2" s="301" t="str">
        <f>+'ÖN BİLGİ'!F6</f>
        <v>5(Beş)</v>
      </c>
    </row>
    <row r="3" spans="2:8" ht="21.75" customHeight="1" x14ac:dyDescent="0.2">
      <c r="B3" s="239"/>
      <c r="C3" s="238"/>
      <c r="D3" s="235">
        <f>+'ÖN BİLGİ'!F5</f>
        <v>41248</v>
      </c>
      <c r="E3" s="234" t="s">
        <v>204</v>
      </c>
      <c r="F3" s="236"/>
      <c r="G3" s="237"/>
    </row>
    <row r="4" spans="2:8" ht="21.95" customHeight="1" x14ac:dyDescent="0.2">
      <c r="B4" s="137" t="s">
        <v>0</v>
      </c>
      <c r="C4" s="838" t="s">
        <v>222</v>
      </c>
      <c r="D4" s="838"/>
      <c r="E4" s="838"/>
      <c r="F4" s="798">
        <f>ROUND(İcmal!E14,2)</f>
        <v>499000.49</v>
      </c>
      <c r="G4" s="829"/>
    </row>
    <row r="5" spans="2:8" ht="21.95" customHeight="1" x14ac:dyDescent="0.2">
      <c r="B5" s="137" t="s">
        <v>1</v>
      </c>
      <c r="C5" s="812" t="s">
        <v>232</v>
      </c>
      <c r="D5" s="812"/>
      <c r="E5" s="812"/>
      <c r="F5" s="848">
        <f>+f.farkı!K23</f>
        <v>-815.7373081500001</v>
      </c>
      <c r="G5" s="849"/>
      <c r="H5" s="65" t="s">
        <v>852</v>
      </c>
    </row>
    <row r="6" spans="2:8" ht="21.95" customHeight="1" x14ac:dyDescent="0.2">
      <c r="B6" s="137" t="s">
        <v>2</v>
      </c>
      <c r="C6" s="233" t="s">
        <v>214</v>
      </c>
      <c r="D6" s="240"/>
      <c r="E6" s="241"/>
      <c r="F6" s="844">
        <f>ROUND(F4+F5,2)</f>
        <v>498184.75</v>
      </c>
      <c r="G6" s="843"/>
    </row>
    <row r="7" spans="2:8" ht="20.25" customHeight="1" x14ac:dyDescent="0.2">
      <c r="B7" s="140"/>
      <c r="C7" s="838"/>
      <c r="D7" s="838"/>
      <c r="E7" s="838"/>
      <c r="F7" s="838"/>
      <c r="G7" s="840"/>
    </row>
    <row r="8" spans="2:8" s="179" customFormat="1" ht="21.95" customHeight="1" x14ac:dyDescent="0.2">
      <c r="B8" s="137" t="s">
        <v>3</v>
      </c>
      <c r="C8" s="838" t="s">
        <v>90</v>
      </c>
      <c r="D8" s="838"/>
      <c r="E8" s="838"/>
      <c r="F8" s="798">
        <v>199982.34</v>
      </c>
      <c r="G8" s="829"/>
    </row>
    <row r="9" spans="2:8" s="179" customFormat="1" ht="21.95" customHeight="1" x14ac:dyDescent="0.2">
      <c r="B9" s="137" t="s">
        <v>4</v>
      </c>
      <c r="C9" s="841" t="s">
        <v>91</v>
      </c>
      <c r="D9" s="841"/>
      <c r="E9" s="841"/>
      <c r="F9" s="842">
        <f>ROUND(F6-F8,2)</f>
        <v>298202.40999999997</v>
      </c>
      <c r="G9" s="843"/>
    </row>
    <row r="10" spans="2:8" s="179" customFormat="1" ht="21.95" customHeight="1" x14ac:dyDescent="0.2">
      <c r="B10" s="137" t="s">
        <v>5</v>
      </c>
      <c r="C10" s="838" t="s">
        <v>113</v>
      </c>
      <c r="D10" s="838"/>
      <c r="E10" s="838"/>
      <c r="F10" s="798">
        <f>ROUND(F9*0.18,2)</f>
        <v>53676.43</v>
      </c>
      <c r="G10" s="829"/>
    </row>
    <row r="11" spans="2:8" s="179" customFormat="1" ht="21.95" customHeight="1" thickBot="1" x14ac:dyDescent="0.25">
      <c r="B11" s="229" t="s">
        <v>6</v>
      </c>
      <c r="C11" s="830" t="s">
        <v>92</v>
      </c>
      <c r="D11" s="830"/>
      <c r="E11" s="830"/>
      <c r="F11" s="831">
        <f>F9+F10</f>
        <v>351878.83999999997</v>
      </c>
      <c r="G11" s="832"/>
    </row>
    <row r="12" spans="2:8" s="179" customFormat="1" ht="21.95" customHeight="1" x14ac:dyDescent="0.2">
      <c r="B12" s="247"/>
      <c r="C12" s="833" t="s">
        <v>9</v>
      </c>
      <c r="D12" s="839" t="s">
        <v>196</v>
      </c>
      <c r="E12" s="839"/>
      <c r="F12" s="835">
        <v>0</v>
      </c>
      <c r="G12" s="836"/>
    </row>
    <row r="13" spans="2:8" s="179" customFormat="1" ht="21.95" customHeight="1" x14ac:dyDescent="0.2">
      <c r="B13" s="141"/>
      <c r="C13" s="834"/>
      <c r="D13" s="812" t="s">
        <v>215</v>
      </c>
      <c r="E13" s="812"/>
      <c r="F13" s="821">
        <f>ROUND(F9*0.00825,2)</f>
        <v>2460.17</v>
      </c>
      <c r="G13" s="822"/>
    </row>
    <row r="14" spans="2:8" s="179" customFormat="1" ht="21.95" customHeight="1" x14ac:dyDescent="0.2">
      <c r="B14" s="141"/>
      <c r="C14" s="834"/>
      <c r="D14" s="812" t="s">
        <v>290</v>
      </c>
      <c r="E14" s="812"/>
      <c r="F14" s="821">
        <f>ROUND(F10/5,2)</f>
        <v>10735.29</v>
      </c>
      <c r="G14" s="822"/>
    </row>
    <row r="15" spans="2:8" s="179" customFormat="1" ht="21" customHeight="1" x14ac:dyDescent="0.2">
      <c r="B15" s="141"/>
      <c r="C15" s="834"/>
      <c r="D15" s="812" t="s">
        <v>111</v>
      </c>
      <c r="E15" s="812"/>
      <c r="F15" s="821">
        <v>0</v>
      </c>
      <c r="G15" s="822"/>
    </row>
    <row r="16" spans="2:8" s="179" customFormat="1" ht="21" customHeight="1" x14ac:dyDescent="0.2">
      <c r="B16" s="141"/>
      <c r="C16" s="834"/>
      <c r="D16" s="812" t="s">
        <v>112</v>
      </c>
      <c r="E16" s="812"/>
      <c r="F16" s="821">
        <v>0</v>
      </c>
      <c r="G16" s="822"/>
    </row>
    <row r="17" spans="2:9" s="179" customFormat="1" ht="21.95" customHeight="1" x14ac:dyDescent="0.2">
      <c r="B17" s="141"/>
      <c r="C17" s="834"/>
      <c r="D17" s="812" t="s">
        <v>118</v>
      </c>
      <c r="E17" s="812"/>
      <c r="F17" s="821">
        <v>0</v>
      </c>
      <c r="G17" s="822"/>
    </row>
    <row r="18" spans="2:9" s="179" customFormat="1" ht="21.95" customHeight="1" x14ac:dyDescent="0.2">
      <c r="B18" s="141"/>
      <c r="C18" s="834"/>
      <c r="D18" s="812" t="s">
        <v>223</v>
      </c>
      <c r="E18" s="812"/>
      <c r="F18" s="821">
        <v>0</v>
      </c>
      <c r="G18" s="822"/>
    </row>
    <row r="19" spans="2:9" s="179" customFormat="1" ht="23.25" customHeight="1" x14ac:dyDescent="0.2">
      <c r="B19" s="141"/>
      <c r="C19" s="834"/>
      <c r="D19" s="837" t="s">
        <v>289</v>
      </c>
      <c r="E19" s="837"/>
      <c r="F19" s="821">
        <v>0</v>
      </c>
      <c r="G19" s="822"/>
    </row>
    <row r="20" spans="2:9" s="179" customFormat="1" ht="21" customHeight="1" x14ac:dyDescent="0.2">
      <c r="B20" s="141"/>
      <c r="C20" s="834"/>
      <c r="D20" s="812" t="s">
        <v>848</v>
      </c>
      <c r="E20" s="812"/>
      <c r="F20" s="821">
        <f>+'%3 KESİNTİ'!G29</f>
        <v>9190.9811582700022</v>
      </c>
      <c r="G20" s="822"/>
    </row>
    <row r="21" spans="2:9" s="179" customFormat="1" ht="21.95" customHeight="1" x14ac:dyDescent="0.2">
      <c r="B21" s="142" t="s">
        <v>8</v>
      </c>
      <c r="C21" s="826" t="s">
        <v>10</v>
      </c>
      <c r="D21" s="827"/>
      <c r="E21" s="828"/>
      <c r="F21" s="819">
        <f>SUM(F12:G20)</f>
        <v>22386.441158270005</v>
      </c>
      <c r="G21" s="820"/>
    </row>
    <row r="22" spans="2:9" s="179" customFormat="1" ht="21.95" customHeight="1" thickBot="1" x14ac:dyDescent="0.25">
      <c r="B22" s="232"/>
      <c r="C22" s="823" t="s">
        <v>11</v>
      </c>
      <c r="D22" s="824"/>
      <c r="E22" s="825"/>
      <c r="F22" s="817">
        <f>ROUND(F11-F21,2)</f>
        <v>329492.40000000002</v>
      </c>
      <c r="G22" s="818"/>
    </row>
    <row r="23" spans="2:9" ht="13.5" customHeight="1" thickBot="1" x14ac:dyDescent="0.25">
      <c r="B23" s="242"/>
      <c r="C23" s="180"/>
      <c r="D23" s="180"/>
      <c r="E23" s="180"/>
      <c r="F23" s="243"/>
      <c r="G23" s="243"/>
    </row>
    <row r="24" spans="2:9" ht="38.25" customHeight="1" x14ac:dyDescent="0.25">
      <c r="B24" s="813" t="s">
        <v>192</v>
      </c>
      <c r="C24" s="814"/>
      <c r="D24" s="814"/>
      <c r="E24" s="552" t="s">
        <v>224</v>
      </c>
      <c r="F24" s="302"/>
      <c r="G24" s="303"/>
    </row>
    <row r="25" spans="2:9" ht="16.5" customHeight="1" x14ac:dyDescent="0.2">
      <c r="B25" s="815" t="s">
        <v>770</v>
      </c>
      <c r="C25" s="816"/>
      <c r="D25" s="816"/>
      <c r="E25" s="481" t="str">
        <f>+'ÖN BİLGİ'!F30</f>
        <v>Elvan HAMZAÇEBİ</v>
      </c>
      <c r="F25" s="525" t="str">
        <f>+'ÖN BİLGİ'!F33</f>
        <v>Nuray KARA</v>
      </c>
      <c r="G25" s="482"/>
      <c r="H25" s="77"/>
      <c r="I25" s="178"/>
    </row>
    <row r="26" spans="2:9" ht="16.5" customHeight="1" x14ac:dyDescent="0.2">
      <c r="B26" s="815" t="s">
        <v>771</v>
      </c>
      <c r="C26" s="816"/>
      <c r="D26" s="816"/>
      <c r="E26" s="481" t="str">
        <f>+'ÖN BİLGİ'!F31</f>
        <v xml:space="preserve">  İnş.Müh.</v>
      </c>
      <c r="F26" s="525" t="str">
        <f>+'ÖN BİLGİ'!F34</f>
        <v>Mak.Tek.</v>
      </c>
      <c r="G26" s="482"/>
      <c r="H26" s="77"/>
      <c r="I26" s="190"/>
    </row>
    <row r="27" spans="2:9" ht="14.25" x14ac:dyDescent="0.2">
      <c r="B27" s="485"/>
      <c r="E27" s="525"/>
      <c r="F27" s="526"/>
      <c r="G27" s="527"/>
    </row>
    <row r="28" spans="2:9" ht="18" customHeight="1" x14ac:dyDescent="0.2">
      <c r="B28" s="485"/>
      <c r="E28" s="525"/>
      <c r="F28" s="528" t="str">
        <f>+'ÖN BİLGİ'!G33</f>
        <v>Muharrem CANIM</v>
      </c>
      <c r="G28" s="527"/>
    </row>
    <row r="29" spans="2:9" ht="19.5" customHeight="1" x14ac:dyDescent="0.2">
      <c r="B29" s="54"/>
      <c r="C29" s="85"/>
      <c r="D29" s="53"/>
      <c r="E29" s="484"/>
      <c r="F29" s="525" t="str">
        <f>+'ÖN BİLGİ'!G34</f>
        <v>Elk.Tek.</v>
      </c>
      <c r="G29" s="483"/>
    </row>
    <row r="30" spans="2:9" ht="13.5" customHeight="1" x14ac:dyDescent="0.2">
      <c r="B30" s="54"/>
      <c r="C30" s="53"/>
      <c r="D30" s="53"/>
      <c r="E30" s="871" t="s">
        <v>202</v>
      </c>
      <c r="F30" s="857"/>
      <c r="G30" s="858"/>
    </row>
    <row r="31" spans="2:9" ht="15" customHeight="1" x14ac:dyDescent="0.2">
      <c r="B31" s="54"/>
      <c r="C31" s="53"/>
      <c r="D31" s="53"/>
      <c r="E31" s="872"/>
      <c r="F31" s="872"/>
      <c r="G31" s="873"/>
    </row>
    <row r="32" spans="2:9" ht="14.25" customHeight="1" x14ac:dyDescent="0.2">
      <c r="B32" s="54"/>
      <c r="D32" s="53"/>
      <c r="E32" s="872" t="s">
        <v>856</v>
      </c>
      <c r="F32" s="872"/>
      <c r="G32" s="873"/>
    </row>
    <row r="33" spans="2:7" ht="20.25" customHeight="1" x14ac:dyDescent="0.2">
      <c r="B33" s="54"/>
      <c r="C33" s="180"/>
      <c r="D33" s="180"/>
      <c r="E33" s="490" t="s">
        <v>860</v>
      </c>
      <c r="F33" s="481"/>
      <c r="G33" s="305"/>
    </row>
    <row r="34" spans="2:7" ht="10.5" customHeight="1" thickBot="1" x14ac:dyDescent="0.25">
      <c r="B34" s="486"/>
      <c r="C34" s="487"/>
      <c r="D34" s="487"/>
      <c r="E34" s="488"/>
      <c r="F34" s="853"/>
      <c r="G34" s="854"/>
    </row>
    <row r="35" spans="2:7" ht="15.75" customHeight="1" x14ac:dyDescent="0.2">
      <c r="B35" s="244"/>
      <c r="C35" s="245"/>
      <c r="D35" s="245"/>
      <c r="E35" s="246"/>
      <c r="F35" s="230"/>
      <c r="G35" s="231"/>
    </row>
    <row r="36" spans="2:7" ht="50.25" customHeight="1" x14ac:dyDescent="0.2">
      <c r="B36" s="856" t="s">
        <v>282</v>
      </c>
      <c r="C36" s="857"/>
      <c r="D36" s="857"/>
      <c r="E36" s="858"/>
      <c r="F36" s="859" t="s">
        <v>193</v>
      </c>
      <c r="G36" s="860"/>
    </row>
    <row r="37" spans="2:7" ht="15" customHeight="1" x14ac:dyDescent="0.2">
      <c r="B37" s="869"/>
      <c r="C37" s="800"/>
      <c r="D37" s="800"/>
      <c r="E37" s="870"/>
      <c r="F37" s="864" t="s">
        <v>286</v>
      </c>
      <c r="G37" s="865"/>
    </row>
    <row r="38" spans="2:7" ht="15" customHeight="1" x14ac:dyDescent="0.2">
      <c r="B38" s="856"/>
      <c r="C38" s="857"/>
      <c r="D38" s="857"/>
      <c r="E38" s="858"/>
      <c r="F38" s="862" t="s">
        <v>283</v>
      </c>
      <c r="G38" s="863"/>
    </row>
    <row r="39" spans="2:7" ht="15" customHeight="1" x14ac:dyDescent="0.2">
      <c r="B39" s="856"/>
      <c r="C39" s="857"/>
      <c r="D39" s="857"/>
      <c r="E39" s="858"/>
      <c r="F39" s="862" t="s">
        <v>284</v>
      </c>
      <c r="G39" s="863"/>
    </row>
    <row r="40" spans="2:7" ht="15" customHeight="1" x14ac:dyDescent="0.2">
      <c r="B40" s="861"/>
      <c r="C40" s="862"/>
      <c r="D40" s="862"/>
      <c r="E40" s="863"/>
      <c r="F40" s="862" t="s">
        <v>285</v>
      </c>
      <c r="G40" s="863"/>
    </row>
    <row r="41" spans="2:7" ht="15" customHeight="1" x14ac:dyDescent="0.2">
      <c r="B41" s="861"/>
      <c r="C41" s="862"/>
      <c r="D41" s="862"/>
      <c r="E41" s="863"/>
      <c r="F41" s="586"/>
      <c r="G41" s="855"/>
    </row>
    <row r="42" spans="2:7" ht="15" customHeight="1" x14ac:dyDescent="0.2">
      <c r="B42" s="861"/>
      <c r="C42" s="862"/>
      <c r="D42" s="862"/>
      <c r="E42" s="863"/>
      <c r="F42" s="586"/>
      <c r="G42" s="855"/>
    </row>
    <row r="43" spans="2:7" ht="15" customHeight="1" x14ac:dyDescent="0.2">
      <c r="B43" s="861"/>
      <c r="C43" s="862"/>
      <c r="D43" s="862"/>
      <c r="E43" s="863"/>
      <c r="F43" s="174"/>
      <c r="G43" s="183"/>
    </row>
    <row r="44" spans="2:7" ht="15" customHeight="1" thickBot="1" x14ac:dyDescent="0.25">
      <c r="B44" s="866"/>
      <c r="C44" s="867"/>
      <c r="D44" s="867"/>
      <c r="E44" s="868"/>
      <c r="F44" s="184"/>
      <c r="G44" s="185"/>
    </row>
    <row r="45" spans="2:7" ht="15" customHeight="1" x14ac:dyDescent="0.2">
      <c r="B45" s="186" t="s">
        <v>77</v>
      </c>
    </row>
    <row r="50" spans="2:7" x14ac:dyDescent="0.2">
      <c r="B50" s="852"/>
      <c r="C50" s="852"/>
      <c r="D50" s="852"/>
      <c r="E50" s="852"/>
      <c r="F50" s="852"/>
      <c r="G50" s="187"/>
    </row>
    <row r="51" spans="2:7" x14ac:dyDescent="0.2">
      <c r="B51" s="852"/>
      <c r="C51" s="852"/>
      <c r="D51" s="852"/>
      <c r="E51" s="852"/>
      <c r="F51" s="852"/>
      <c r="G51" s="187"/>
    </row>
  </sheetData>
  <customSheetViews>
    <customSheetView guid="{B697A606-4F7D-4003-A961-6D85D54ED7E6}" showPageBreaks="1" showGridLines="0" showRuler="0">
      <selection activeCell="F20" sqref="F20"/>
      <pageMargins left="0.75" right="0.75" top="1" bottom="1" header="0.5" footer="0.5"/>
      <pageSetup paperSize="9" scale="84" orientation="portrait" r:id="rId1"/>
      <headerFooter alignWithMargins="0"/>
    </customSheetView>
    <customSheetView guid="{A0FBF4F0-B30E-4ACB-A5FE-211E2EFA502B}" showGridLines="0" showRuler="0" topLeftCell="A20">
      <selection activeCell="G4" sqref="G4"/>
      <pageMargins left="0.75" right="0.75" top="1" bottom="1" header="0.5" footer="0.5"/>
      <pageSetup paperSize="9" scale="99" orientation="portrait" r:id="rId2"/>
      <headerFooter alignWithMargins="0"/>
    </customSheetView>
  </customSheetViews>
  <mergeCells count="64">
    <mergeCell ref="B26:D26"/>
    <mergeCell ref="B41:E41"/>
    <mergeCell ref="B42:E42"/>
    <mergeCell ref="B43:E43"/>
    <mergeCell ref="B44:E44"/>
    <mergeCell ref="B37:E37"/>
    <mergeCell ref="E30:G30"/>
    <mergeCell ref="E31:G31"/>
    <mergeCell ref="E32:G32"/>
    <mergeCell ref="B51:F51"/>
    <mergeCell ref="F34:G34"/>
    <mergeCell ref="F41:G41"/>
    <mergeCell ref="F42:G42"/>
    <mergeCell ref="B50:F50"/>
    <mergeCell ref="B36:E36"/>
    <mergeCell ref="F36:G36"/>
    <mergeCell ref="B38:E38"/>
    <mergeCell ref="B39:E39"/>
    <mergeCell ref="B40:E40"/>
    <mergeCell ref="F38:G38"/>
    <mergeCell ref="F39:G39"/>
    <mergeCell ref="F40:G40"/>
    <mergeCell ref="F37:G37"/>
    <mergeCell ref="F6:G6"/>
    <mergeCell ref="B1:G1"/>
    <mergeCell ref="C4:E4"/>
    <mergeCell ref="F4:G4"/>
    <mergeCell ref="F5:G5"/>
    <mergeCell ref="C5:E5"/>
    <mergeCell ref="B2:E2"/>
    <mergeCell ref="C7:G7"/>
    <mergeCell ref="C8:E8"/>
    <mergeCell ref="F8:G8"/>
    <mergeCell ref="C9:E9"/>
    <mergeCell ref="F9:G9"/>
    <mergeCell ref="F10:G10"/>
    <mergeCell ref="C11:E11"/>
    <mergeCell ref="F11:G11"/>
    <mergeCell ref="C12:C20"/>
    <mergeCell ref="F12:G12"/>
    <mergeCell ref="F14:G14"/>
    <mergeCell ref="F15:G15"/>
    <mergeCell ref="F16:G16"/>
    <mergeCell ref="F17:G17"/>
    <mergeCell ref="F18:G18"/>
    <mergeCell ref="F19:G19"/>
    <mergeCell ref="D20:E20"/>
    <mergeCell ref="D19:E19"/>
    <mergeCell ref="C10:E10"/>
    <mergeCell ref="D12:E12"/>
    <mergeCell ref="D13:E13"/>
    <mergeCell ref="D14:E14"/>
    <mergeCell ref="F13:G13"/>
    <mergeCell ref="D15:E15"/>
    <mergeCell ref="D16:E16"/>
    <mergeCell ref="D17:E17"/>
    <mergeCell ref="D18:E18"/>
    <mergeCell ref="B24:D24"/>
    <mergeCell ref="B25:D25"/>
    <mergeCell ref="F22:G22"/>
    <mergeCell ref="F21:G21"/>
    <mergeCell ref="F20:G20"/>
    <mergeCell ref="C22:E22"/>
    <mergeCell ref="C21:E21"/>
  </mergeCells>
  <phoneticPr fontId="10" type="noConversion"/>
  <printOptions horizontalCentered="1"/>
  <pageMargins left="0.86" right="0.36" top="0.6" bottom="0.55000000000000004" header="0.62" footer="0.51181102362204722"/>
  <pageSetup paperSize="9" scale="84" orientation="portrait" horizontalDpi="300" verticalDpi="300"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3"/>
  <sheetViews>
    <sheetView view="pageBreakPreview" zoomScale="85" zoomScaleSheetLayoutView="85" workbookViewId="0">
      <selection activeCell="A13" sqref="A13:XFD13"/>
    </sheetView>
  </sheetViews>
  <sheetFormatPr defaultRowHeight="12.75" x14ac:dyDescent="0.2"/>
  <cols>
    <col min="1" max="1" width="11.28515625" style="65" customWidth="1"/>
    <col min="2" max="2" width="10.7109375" style="65" customWidth="1"/>
    <col min="3" max="3" width="47" style="65" bestFit="1" customWidth="1"/>
    <col min="4" max="4" width="12.5703125" style="65" customWidth="1"/>
    <col min="5" max="5" width="14.5703125" style="65" customWidth="1"/>
    <col min="6" max="6" width="15.42578125" style="65" bestFit="1" customWidth="1"/>
    <col min="7" max="7" width="15.140625" style="65" customWidth="1"/>
    <col min="8" max="8" width="15.42578125" style="65" bestFit="1" customWidth="1"/>
    <col min="9" max="9" width="14.140625" style="65" bestFit="1" customWidth="1"/>
    <col min="10" max="10" width="15.5703125" style="65" bestFit="1" customWidth="1"/>
    <col min="11" max="12" width="9.140625" style="65"/>
    <col min="13" max="13" width="10.140625" style="65" bestFit="1" customWidth="1"/>
    <col min="14" max="16384" width="9.140625" style="65"/>
  </cols>
  <sheetData>
    <row r="1" spans="1:13" ht="36" customHeight="1" thickBot="1" x14ac:dyDescent="0.25">
      <c r="A1" s="874" t="s">
        <v>121</v>
      </c>
      <c r="B1" s="875"/>
      <c r="C1" s="875"/>
      <c r="D1" s="875"/>
      <c r="E1" s="875"/>
      <c r="F1" s="875"/>
      <c r="G1" s="875"/>
      <c r="H1" s="875"/>
      <c r="I1" s="814"/>
      <c r="J1" s="876"/>
    </row>
    <row r="2" spans="1:13" ht="20.25" customHeight="1" x14ac:dyDescent="0.2">
      <c r="A2" s="878" t="str">
        <f>'ÖN BİLGİ'!F9</f>
        <v xml:space="preserve">Araklı Çankaya Yibo Lojman İnşaatı İşi </v>
      </c>
      <c r="B2" s="814"/>
      <c r="C2" s="814"/>
      <c r="D2" s="814"/>
      <c r="E2" s="814"/>
      <c r="F2" s="814"/>
      <c r="G2" s="814"/>
      <c r="H2" s="814"/>
      <c r="I2" s="225" t="s">
        <v>218</v>
      </c>
      <c r="J2" s="226">
        <v>1</v>
      </c>
    </row>
    <row r="3" spans="1:13" ht="29.25" customHeight="1" thickBot="1" x14ac:dyDescent="0.25">
      <c r="A3" s="879"/>
      <c r="B3" s="880"/>
      <c r="C3" s="880"/>
      <c r="D3" s="880"/>
      <c r="E3" s="880"/>
      <c r="F3" s="880"/>
      <c r="G3" s="880"/>
      <c r="H3" s="880"/>
      <c r="I3" s="227" t="s">
        <v>13</v>
      </c>
      <c r="J3" s="228" t="str">
        <f>+'ÖN BİLGİ'!F6</f>
        <v>5(Beş)</v>
      </c>
    </row>
    <row r="4" spans="1:13" ht="27" customHeight="1" thickBot="1" x14ac:dyDescent="0.25">
      <c r="A4" s="202"/>
      <c r="B4" s="203"/>
      <c r="C4" s="203"/>
      <c r="D4" s="203" t="s">
        <v>0</v>
      </c>
      <c r="E4" s="203" t="s">
        <v>1</v>
      </c>
      <c r="F4" s="204" t="s">
        <v>219</v>
      </c>
      <c r="G4" s="205" t="s">
        <v>3</v>
      </c>
      <c r="H4" s="204" t="s">
        <v>220</v>
      </c>
      <c r="I4" s="223" t="s">
        <v>78</v>
      </c>
      <c r="J4" s="224" t="s">
        <v>221</v>
      </c>
    </row>
    <row r="5" spans="1:13" ht="75.75" thickBot="1" x14ac:dyDescent="0.25">
      <c r="A5" s="330" t="s">
        <v>15</v>
      </c>
      <c r="B5" s="331" t="s">
        <v>81</v>
      </c>
      <c r="C5" s="331" t="s">
        <v>82</v>
      </c>
      <c r="D5" s="331" t="s">
        <v>24</v>
      </c>
      <c r="E5" s="332" t="s">
        <v>109</v>
      </c>
      <c r="F5" s="333" t="s">
        <v>83</v>
      </c>
      <c r="G5" s="334" t="s">
        <v>84</v>
      </c>
      <c r="H5" s="333" t="s">
        <v>85</v>
      </c>
      <c r="I5" s="335" t="s">
        <v>86</v>
      </c>
      <c r="J5" s="336" t="s">
        <v>87</v>
      </c>
    </row>
    <row r="6" spans="1:13" ht="21" customHeight="1" x14ac:dyDescent="0.2">
      <c r="A6" s="338">
        <v>1</v>
      </c>
      <c r="B6" s="339">
        <f>+'Yeşil Defter-İNŞAAT'!E17</f>
        <v>4.6683000000000003</v>
      </c>
      <c r="C6" s="340" t="str">
        <f>+İcmal!B5</f>
        <v>Subasmanaltı İnşaat İmalatları</v>
      </c>
      <c r="D6" s="341">
        <v>499000</v>
      </c>
      <c r="E6" s="355">
        <f>+'Yeşil Defter-İNŞAAT'!F17</f>
        <v>4.6683000000000003</v>
      </c>
      <c r="F6" s="431">
        <f>ROUND(D6*E6/100,2)</f>
        <v>23294.82</v>
      </c>
      <c r="G6" s="342">
        <f>'Yeşil Defter-İNŞAAT'!G17</f>
        <v>4.6683000000000003</v>
      </c>
      <c r="H6" s="343">
        <f t="shared" ref="H6:H12" si="0">ROUND((D6*G6/100),2)</f>
        <v>23294.82</v>
      </c>
      <c r="I6" s="429">
        <f>E6-G6</f>
        <v>0</v>
      </c>
      <c r="J6" s="344">
        <f>ROUND(D6*I6/100,2)</f>
        <v>0</v>
      </c>
    </row>
    <row r="7" spans="1:13" ht="21" customHeight="1" x14ac:dyDescent="0.2">
      <c r="A7" s="121">
        <v>2</v>
      </c>
      <c r="B7" s="111">
        <f>+'Yeşil Defter-İNŞAAT'!E93</f>
        <v>53.870699999999999</v>
      </c>
      <c r="C7" s="146" t="str">
        <f>+İcmal!B6</f>
        <v>Subasmanüstü İnşaat İmalatları</v>
      </c>
      <c r="D7" s="143">
        <v>499000</v>
      </c>
      <c r="E7" s="356">
        <f>+'Yeşil Defter-İNŞAAT'!F93</f>
        <v>53.870699999999999</v>
      </c>
      <c r="F7" s="143">
        <f t="shared" ref="F7:F12" si="1">ROUND(D7*E7/100,2)</f>
        <v>268814.78999999998</v>
      </c>
      <c r="G7" s="144">
        <f>+'Yeşil Defter-İNŞAAT'!G93</f>
        <v>53.870699999999999</v>
      </c>
      <c r="H7" s="337">
        <f t="shared" si="0"/>
        <v>268814.78999999998</v>
      </c>
      <c r="I7" s="430">
        <f t="shared" ref="I7:I12" si="2">E7-G7</f>
        <v>0</v>
      </c>
      <c r="J7" s="145">
        <f>ROUND(D7*I7/100,2)</f>
        <v>0</v>
      </c>
    </row>
    <row r="8" spans="1:13" ht="21" customHeight="1" x14ac:dyDescent="0.2">
      <c r="A8" s="121">
        <v>3</v>
      </c>
      <c r="B8" s="111">
        <f>+'Yeşil Defter-İNŞAAT'!E134</f>
        <v>21.956700000000001</v>
      </c>
      <c r="C8" s="146" t="str">
        <f>+İcmal!B7</f>
        <v>Çevre İnşaat İmalatları</v>
      </c>
      <c r="D8" s="143">
        <v>499000</v>
      </c>
      <c r="E8" s="356">
        <f>+'Yeşil Defter-İNŞAAT'!F134</f>
        <v>21.956700000000001</v>
      </c>
      <c r="F8" s="143">
        <f t="shared" si="1"/>
        <v>109563.93</v>
      </c>
      <c r="G8" s="144">
        <f>+'Yeşil Defter-İNŞAAT'!G134</f>
        <v>21.956700000000001</v>
      </c>
      <c r="H8" s="337">
        <f t="shared" si="0"/>
        <v>109563.93</v>
      </c>
      <c r="I8" s="430">
        <f t="shared" si="2"/>
        <v>0</v>
      </c>
      <c r="J8" s="145">
        <f>ROUND(D8*I8/100,2)</f>
        <v>0</v>
      </c>
    </row>
    <row r="9" spans="1:13" ht="21" customHeight="1" x14ac:dyDescent="0.2">
      <c r="A9" s="121">
        <v>4</v>
      </c>
      <c r="B9" s="271">
        <f>+'Yeşil Defter-TESİSAT'!E50</f>
        <v>5.4090999999999996</v>
      </c>
      <c r="C9" s="272" t="str">
        <f>+İcmal!B8</f>
        <v>Sıhhi ve Müşterek Tesisat İmalatları</v>
      </c>
      <c r="D9" s="273">
        <v>499000</v>
      </c>
      <c r="E9" s="357">
        <f>+'Yeşil Defter-TESİSAT'!F50</f>
        <v>5.4090999999999996</v>
      </c>
      <c r="F9" s="143">
        <f t="shared" si="1"/>
        <v>26991.41</v>
      </c>
      <c r="G9" s="274">
        <f>+'Yeşil Defter-TESİSAT'!G50</f>
        <v>5.4090999999999996</v>
      </c>
      <c r="H9" s="337">
        <f t="shared" si="0"/>
        <v>26991.41</v>
      </c>
      <c r="I9" s="430">
        <f t="shared" si="2"/>
        <v>0</v>
      </c>
      <c r="J9" s="145">
        <f t="shared" ref="J9:J12" si="3">ROUND(D9*I9/100,2)</f>
        <v>0</v>
      </c>
    </row>
    <row r="10" spans="1:13" ht="21" customHeight="1" x14ac:dyDescent="0.2">
      <c r="A10" s="121">
        <v>5</v>
      </c>
      <c r="B10" s="271">
        <f>+'Yeşil Defter-TESİSAT'!E104</f>
        <v>5.7298999999999998</v>
      </c>
      <c r="C10" s="272" t="str">
        <f>+İcmal!B9</f>
        <v>Kalorifer ve Müşterek Tesisat İmalatları</v>
      </c>
      <c r="D10" s="273">
        <v>499000</v>
      </c>
      <c r="E10" s="357">
        <f>+'Yeşil Defter-TESİSAT'!F104</f>
        <v>5.7298999999999998</v>
      </c>
      <c r="F10" s="143">
        <f t="shared" si="1"/>
        <v>28592.2</v>
      </c>
      <c r="G10" s="274">
        <f>+'Yeşil Defter-TESİSAT'!G104</f>
        <v>5.7298999999999998</v>
      </c>
      <c r="H10" s="337">
        <f t="shared" si="0"/>
        <v>28592.2</v>
      </c>
      <c r="I10" s="430">
        <f t="shared" si="2"/>
        <v>0</v>
      </c>
      <c r="J10" s="145">
        <f t="shared" si="3"/>
        <v>0</v>
      </c>
    </row>
    <row r="11" spans="1:13" ht="21" customHeight="1" x14ac:dyDescent="0.2">
      <c r="A11" s="121">
        <v>6</v>
      </c>
      <c r="B11" s="275">
        <f>+'Yeşil Defter-ELEKTRİK'!E70</f>
        <v>4.4276999999999997</v>
      </c>
      <c r="C11" s="272" t="str">
        <f>+İcmal!B10</f>
        <v>Elektrik Tesisatı İmalatları</v>
      </c>
      <c r="D11" s="273">
        <v>499000</v>
      </c>
      <c r="E11" s="357">
        <f>+'Yeşil Defter-ELEKTRİK'!F70</f>
        <v>4.4276999999999997</v>
      </c>
      <c r="F11" s="143">
        <f t="shared" si="1"/>
        <v>22094.22</v>
      </c>
      <c r="G11" s="274">
        <f>+'Yeşil Defter-ELEKTRİK'!G70</f>
        <v>4.4276999999999997</v>
      </c>
      <c r="H11" s="337">
        <f t="shared" si="0"/>
        <v>22094.22</v>
      </c>
      <c r="I11" s="97">
        <f t="shared" si="2"/>
        <v>0</v>
      </c>
      <c r="J11" s="145">
        <f t="shared" si="3"/>
        <v>0</v>
      </c>
    </row>
    <row r="12" spans="1:13" ht="21" customHeight="1" thickBot="1" x14ac:dyDescent="0.25">
      <c r="A12" s="121">
        <v>7</v>
      </c>
      <c r="B12" s="275">
        <f>+'Yeşil Defter-ELEKTRİK'!E117</f>
        <v>3.9377</v>
      </c>
      <c r="C12" s="272" t="str">
        <f>+İcmal!B11</f>
        <v>Trafo Tesisatı İmalatları</v>
      </c>
      <c r="D12" s="273">
        <v>499000</v>
      </c>
      <c r="E12" s="357">
        <f>+'Yeşil Defter-ELEKTRİK'!F117</f>
        <v>3.9377</v>
      </c>
      <c r="F12" s="432">
        <f t="shared" si="1"/>
        <v>19649.12</v>
      </c>
      <c r="G12" s="274">
        <f>+'Yeşil Defter-ELEKTRİK'!G117</f>
        <v>3.9377</v>
      </c>
      <c r="H12" s="337">
        <f t="shared" si="0"/>
        <v>19649.12</v>
      </c>
      <c r="I12" s="97">
        <f t="shared" si="2"/>
        <v>0</v>
      </c>
      <c r="J12" s="145">
        <f t="shared" si="3"/>
        <v>0</v>
      </c>
    </row>
    <row r="13" spans="1:13" ht="21" customHeight="1" thickBot="1" x14ac:dyDescent="0.25">
      <c r="A13" s="298" t="s">
        <v>12</v>
      </c>
      <c r="B13" s="436">
        <f>SUM(B6:B12)</f>
        <v>100.0001</v>
      </c>
      <c r="C13" s="147"/>
      <c r="D13" s="148"/>
      <c r="E13" s="427">
        <f>+SUM(E6:E12)</f>
        <v>100.0001</v>
      </c>
      <c r="F13" s="149">
        <f>ROUND(SUM(F6:F12),2)</f>
        <v>499000.49</v>
      </c>
      <c r="G13" s="150">
        <f>SUM(G6:G12)</f>
        <v>100.0001</v>
      </c>
      <c r="H13" s="151">
        <f>ROUND(SUM(H6:H12),2)</f>
        <v>499000.49</v>
      </c>
      <c r="I13" s="428">
        <f>SUM(I6:I12)</f>
        <v>0</v>
      </c>
      <c r="J13" s="152">
        <f>ROUND(SUM(J6:J12),2)</f>
        <v>0</v>
      </c>
      <c r="M13" s="192"/>
    </row>
    <row r="14" spans="1:13" ht="15" x14ac:dyDescent="0.2">
      <c r="A14" s="193"/>
      <c r="B14" s="194"/>
      <c r="C14" s="195"/>
      <c r="D14" s="191"/>
      <c r="E14" s="196"/>
      <c r="F14" s="197"/>
      <c r="G14" s="77"/>
      <c r="H14" s="197"/>
      <c r="I14" s="190"/>
      <c r="J14" s="197"/>
    </row>
    <row r="15" spans="1:13" ht="15" x14ac:dyDescent="0.2">
      <c r="A15" s="198" t="s">
        <v>66</v>
      </c>
      <c r="B15" s="190"/>
      <c r="F15" s="192"/>
      <c r="M15" s="192"/>
    </row>
    <row r="16" spans="1:13" ht="15.75" x14ac:dyDescent="0.2">
      <c r="A16" s="189"/>
      <c r="B16" s="189"/>
      <c r="C16" s="199"/>
      <c r="D16" s="199"/>
      <c r="E16" s="199"/>
      <c r="F16" s="199"/>
      <c r="G16" s="199"/>
      <c r="H16" s="199"/>
    </row>
    <row r="17" spans="1:11" ht="15.95" customHeight="1" x14ac:dyDescent="0.2">
      <c r="A17" s="877" t="s">
        <v>119</v>
      </c>
      <c r="B17" s="877"/>
      <c r="C17" s="877"/>
      <c r="D17" s="445"/>
      <c r="E17" s="796" t="s">
        <v>205</v>
      </c>
      <c r="F17" s="796"/>
      <c r="G17" s="796"/>
      <c r="H17" s="796"/>
      <c r="I17" s="796"/>
      <c r="J17" s="796"/>
    </row>
    <row r="18" spans="1:11" ht="15.95" customHeight="1" x14ac:dyDescent="0.2">
      <c r="A18" s="292"/>
      <c r="B18" s="292"/>
      <c r="C18" s="292"/>
      <c r="D18" s="293"/>
      <c r="E18" s="294"/>
      <c r="F18" s="294"/>
      <c r="G18" s="294"/>
      <c r="H18" s="294"/>
      <c r="I18" s="294"/>
      <c r="J18" s="294"/>
    </row>
    <row r="19" spans="1:11" ht="15" x14ac:dyDescent="0.2">
      <c r="A19" s="758"/>
      <c r="B19" s="758"/>
      <c r="C19" s="758"/>
      <c r="D19" s="295"/>
      <c r="E19" s="724" t="str">
        <f>+'ÖN BİLGİ'!F30</f>
        <v>Elvan HAMZAÇEBİ</v>
      </c>
      <c r="F19" s="724"/>
      <c r="G19" s="505" t="s">
        <v>775</v>
      </c>
      <c r="I19" s="198" t="s">
        <v>777</v>
      </c>
      <c r="J19" s="198"/>
      <c r="K19" s="198"/>
    </row>
    <row r="20" spans="1:11" ht="15" customHeight="1" x14ac:dyDescent="0.2">
      <c r="A20" s="724" t="str">
        <f>+'ÖN BİLGİ'!F13</f>
        <v>Özbulut Yapı Taah.İnş.Gıda San.ve Tic.Ltd.Şti.</v>
      </c>
      <c r="B20" s="724"/>
      <c r="C20" s="724"/>
      <c r="D20" s="295"/>
      <c r="E20" s="724" t="str">
        <f>+'ÖN BİLGİ'!F31</f>
        <v xml:space="preserve">  İnş.Müh.</v>
      </c>
      <c r="F20" s="724"/>
      <c r="G20" s="505" t="s">
        <v>776</v>
      </c>
      <c r="I20" s="505" t="s">
        <v>778</v>
      </c>
      <c r="J20" s="724"/>
      <c r="K20" s="724"/>
    </row>
    <row r="21" spans="1:11" ht="14.25" x14ac:dyDescent="0.2">
      <c r="A21" s="295"/>
      <c r="B21" s="299"/>
      <c r="C21" s="296"/>
      <c r="D21" s="295"/>
      <c r="E21" s="296"/>
      <c r="F21" s="297"/>
      <c r="G21" s="296"/>
      <c r="H21" s="295"/>
      <c r="I21" s="296"/>
      <c r="J21" s="295"/>
    </row>
    <row r="22" spans="1:11" ht="15" x14ac:dyDescent="0.2">
      <c r="C22" s="201"/>
      <c r="D22" s="190"/>
      <c r="F22" s="200"/>
      <c r="G22" s="77"/>
      <c r="H22" s="78"/>
      <c r="I22" s="190"/>
      <c r="J22" s="197"/>
    </row>
    <row r="23" spans="1:11" ht="15" x14ac:dyDescent="0.2">
      <c r="D23" s="79"/>
      <c r="E23" s="198"/>
      <c r="F23" s="201"/>
      <c r="G23" s="79"/>
      <c r="H23" s="79"/>
      <c r="I23" s="79"/>
    </row>
  </sheetData>
  <mergeCells count="9">
    <mergeCell ref="A1:J1"/>
    <mergeCell ref="E19:F19"/>
    <mergeCell ref="E20:F20"/>
    <mergeCell ref="A17:C17"/>
    <mergeCell ref="A19:C19"/>
    <mergeCell ref="A20:C20"/>
    <mergeCell ref="A2:H3"/>
    <mergeCell ref="E17:J17"/>
    <mergeCell ref="J20:K20"/>
  </mergeCells>
  <pageMargins left="0.43307086614173229" right="0.1574803149606299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25"/>
  <sheetViews>
    <sheetView view="pageBreakPreview" zoomScaleSheetLayoutView="100" workbookViewId="0">
      <selection activeCell="J8" sqref="J8:R8"/>
    </sheetView>
  </sheetViews>
  <sheetFormatPr defaultRowHeight="12.75" x14ac:dyDescent="0.2"/>
  <cols>
    <col min="1" max="9" width="9.140625" style="92"/>
    <col min="10" max="10" width="8.42578125" style="92" customWidth="1"/>
    <col min="11" max="11" width="9.140625" style="92"/>
    <col min="12" max="12" width="9.85546875" style="92" customWidth="1"/>
    <col min="13" max="18" width="9.140625" style="92"/>
    <col min="19" max="19" width="6.85546875" style="92" customWidth="1"/>
    <col min="20" max="16384" width="9.140625" style="92"/>
  </cols>
  <sheetData>
    <row r="1" spans="1:38" x14ac:dyDescent="0.2">
      <c r="T1" s="251"/>
      <c r="U1" s="251"/>
      <c r="V1" s="251"/>
      <c r="W1" s="251"/>
      <c r="X1" s="251"/>
      <c r="Y1" s="251"/>
      <c r="Z1" s="251"/>
      <c r="AA1" s="251"/>
      <c r="AB1" s="251"/>
    </row>
    <row r="2" spans="1:38" x14ac:dyDescent="0.2">
      <c r="T2" s="251"/>
      <c r="U2" s="251"/>
      <c r="V2" s="251"/>
      <c r="W2" s="251"/>
      <c r="X2" s="251"/>
      <c r="Y2" s="251"/>
      <c r="Z2" s="251"/>
      <c r="AA2" s="251"/>
      <c r="AB2" s="251"/>
    </row>
    <row r="3" spans="1:38" ht="16.5" customHeight="1" x14ac:dyDescent="0.2">
      <c r="A3" s="889" t="s">
        <v>761</v>
      </c>
      <c r="B3" s="889"/>
      <c r="C3" s="889"/>
      <c r="D3" s="889"/>
      <c r="E3" s="889"/>
      <c r="F3" s="889"/>
      <c r="G3" s="889"/>
      <c r="H3" s="889"/>
      <c r="I3" s="889"/>
      <c r="J3" s="890" t="s">
        <v>761</v>
      </c>
      <c r="K3" s="890"/>
      <c r="L3" s="890"/>
      <c r="M3" s="890"/>
      <c r="N3" s="890"/>
      <c r="O3" s="890"/>
      <c r="P3" s="890"/>
      <c r="Q3" s="890"/>
      <c r="R3" s="890"/>
      <c r="S3" s="890"/>
      <c r="T3" s="890" t="s">
        <v>225</v>
      </c>
      <c r="U3" s="890"/>
      <c r="V3" s="890"/>
      <c r="W3" s="890"/>
      <c r="X3" s="890"/>
      <c r="Y3" s="890"/>
      <c r="Z3" s="890"/>
      <c r="AA3" s="890"/>
      <c r="AB3" s="890"/>
      <c r="AC3" s="489"/>
      <c r="AD3" s="889" t="s">
        <v>761</v>
      </c>
      <c r="AE3" s="889"/>
      <c r="AF3" s="889"/>
      <c r="AG3" s="889"/>
      <c r="AH3" s="889"/>
      <c r="AI3" s="889"/>
      <c r="AJ3" s="889"/>
      <c r="AK3" s="889"/>
      <c r="AL3" s="889"/>
    </row>
    <row r="4" spans="1:38" ht="19.5" customHeight="1" x14ac:dyDescent="0.2">
      <c r="A4" s="889" t="s">
        <v>199</v>
      </c>
      <c r="B4" s="889"/>
      <c r="C4" s="889"/>
      <c r="D4" s="889"/>
      <c r="E4" s="889"/>
      <c r="F4" s="889"/>
      <c r="G4" s="889"/>
      <c r="H4" s="889"/>
      <c r="I4" s="889"/>
      <c r="J4" s="889" t="s">
        <v>782</v>
      </c>
      <c r="K4" s="889"/>
      <c r="L4" s="889"/>
      <c r="M4" s="889"/>
      <c r="N4" s="889"/>
      <c r="O4" s="889"/>
      <c r="P4" s="889"/>
      <c r="Q4" s="889"/>
      <c r="R4" s="889"/>
      <c r="S4" s="889"/>
      <c r="T4" s="890"/>
      <c r="U4" s="890"/>
      <c r="V4" s="890"/>
      <c r="W4" s="890"/>
      <c r="X4" s="890"/>
      <c r="Y4" s="890"/>
      <c r="Z4" s="890"/>
      <c r="AA4" s="890"/>
      <c r="AB4" s="890"/>
      <c r="AC4" s="890"/>
      <c r="AD4" s="889" t="s">
        <v>199</v>
      </c>
      <c r="AE4" s="889"/>
      <c r="AF4" s="889"/>
      <c r="AG4" s="889"/>
      <c r="AH4" s="889"/>
      <c r="AI4" s="889"/>
      <c r="AJ4" s="889"/>
      <c r="AK4" s="889"/>
      <c r="AL4" s="889"/>
    </row>
    <row r="5" spans="1:38" ht="15.75" x14ac:dyDescent="0.2">
      <c r="T5" s="889"/>
      <c r="U5" s="889"/>
      <c r="V5" s="889"/>
      <c r="W5" s="889"/>
      <c r="X5" s="889"/>
      <c r="Y5" s="889"/>
      <c r="Z5" s="889"/>
      <c r="AA5" s="889"/>
      <c r="AB5" s="889"/>
      <c r="AC5" s="889"/>
    </row>
    <row r="6" spans="1:38" ht="65.099999999999994" customHeight="1" x14ac:dyDescent="0.2">
      <c r="A6" s="885" t="s">
        <v>769</v>
      </c>
      <c r="B6" s="885"/>
      <c r="C6" s="885"/>
      <c r="D6" s="885"/>
      <c r="E6" s="885"/>
      <c r="F6" s="885"/>
      <c r="G6" s="885"/>
      <c r="H6" s="885"/>
      <c r="I6" s="885"/>
      <c r="J6" s="883" t="s">
        <v>781</v>
      </c>
      <c r="K6" s="883"/>
      <c r="L6" s="883"/>
      <c r="M6" s="883"/>
      <c r="N6" s="883"/>
      <c r="O6" s="883"/>
      <c r="P6" s="883"/>
      <c r="Q6" s="883"/>
      <c r="R6" s="883"/>
      <c r="S6" s="883"/>
      <c r="T6" s="892" t="s">
        <v>805</v>
      </c>
      <c r="U6" s="892"/>
      <c r="V6" s="892"/>
      <c r="W6" s="892"/>
      <c r="X6" s="892"/>
      <c r="Y6" s="892"/>
      <c r="Z6" s="892"/>
      <c r="AA6" s="892"/>
      <c r="AB6" s="892"/>
      <c r="AC6" s="885" t="s">
        <v>769</v>
      </c>
      <c r="AD6" s="885"/>
      <c r="AE6" s="885"/>
      <c r="AF6" s="885"/>
      <c r="AG6" s="885"/>
      <c r="AH6" s="885"/>
      <c r="AI6" s="885"/>
      <c r="AJ6" s="885"/>
      <c r="AK6" s="885"/>
    </row>
    <row r="7" spans="1:38" ht="30" customHeight="1" x14ac:dyDescent="0.2">
      <c r="A7" s="883" t="s">
        <v>200</v>
      </c>
      <c r="B7" s="884"/>
      <c r="C7" s="884"/>
      <c r="D7" s="884"/>
      <c r="E7" s="884"/>
      <c r="F7" s="884"/>
      <c r="G7" s="884"/>
      <c r="H7" s="884"/>
      <c r="I7" s="884"/>
      <c r="J7" s="886" t="s">
        <v>212</v>
      </c>
      <c r="K7" s="887"/>
      <c r="L7" s="529">
        <f>+'yapılan işler listesi'!E13</f>
        <v>100.0001</v>
      </c>
      <c r="M7" s="883" t="s">
        <v>201</v>
      </c>
      <c r="N7" s="884"/>
      <c r="O7" s="884"/>
      <c r="P7" s="884"/>
      <c r="Q7" s="884"/>
      <c r="R7" s="884"/>
      <c r="T7" s="892"/>
      <c r="U7" s="892"/>
      <c r="V7" s="892"/>
      <c r="W7" s="892"/>
      <c r="X7" s="892"/>
      <c r="Y7" s="892"/>
      <c r="Z7" s="892"/>
      <c r="AA7" s="892"/>
      <c r="AB7" s="892"/>
      <c r="AC7" s="883" t="s">
        <v>200</v>
      </c>
      <c r="AD7" s="884"/>
      <c r="AE7" s="884"/>
      <c r="AF7" s="884"/>
      <c r="AG7" s="884"/>
      <c r="AH7" s="884"/>
      <c r="AI7" s="884"/>
      <c r="AJ7" s="884"/>
      <c r="AK7" s="884"/>
    </row>
    <row r="8" spans="1:38" ht="50.1" customHeight="1" x14ac:dyDescent="0.2">
      <c r="A8" s="883" t="s">
        <v>806</v>
      </c>
      <c r="B8" s="883"/>
      <c r="C8" s="883"/>
      <c r="D8" s="883"/>
      <c r="E8" s="883"/>
      <c r="F8" s="883"/>
      <c r="G8" s="883"/>
      <c r="H8" s="883"/>
      <c r="I8" s="883"/>
      <c r="J8" s="883" t="s">
        <v>207</v>
      </c>
      <c r="K8" s="884"/>
      <c r="L8" s="884"/>
      <c r="M8" s="884"/>
      <c r="N8" s="884"/>
      <c r="O8" s="884"/>
      <c r="P8" s="884"/>
      <c r="Q8" s="884"/>
      <c r="R8" s="884"/>
      <c r="AC8" s="883" t="s">
        <v>806</v>
      </c>
      <c r="AD8" s="883"/>
      <c r="AE8" s="883"/>
      <c r="AF8" s="883"/>
      <c r="AG8" s="883"/>
      <c r="AH8" s="883"/>
      <c r="AI8" s="883"/>
      <c r="AJ8" s="883"/>
      <c r="AK8" s="883"/>
    </row>
    <row r="9" spans="1:38" ht="21.75" customHeight="1" x14ac:dyDescent="0.2">
      <c r="E9" s="881"/>
      <c r="F9" s="881"/>
      <c r="T9" s="883" t="s">
        <v>226</v>
      </c>
      <c r="U9" s="883"/>
      <c r="V9" s="883"/>
      <c r="W9" s="883"/>
      <c r="X9" s="883"/>
      <c r="Y9" s="883"/>
      <c r="Z9" s="883"/>
      <c r="AA9" s="883"/>
      <c r="AB9" s="883"/>
      <c r="AG9" s="881"/>
      <c r="AH9" s="881"/>
    </row>
    <row r="10" spans="1:38" ht="23.25" customHeight="1" x14ac:dyDescent="0.2">
      <c r="T10" s="891" t="s">
        <v>227</v>
      </c>
      <c r="U10" s="891"/>
      <c r="V10" s="891"/>
      <c r="W10" s="891"/>
      <c r="X10" s="891" t="s">
        <v>228</v>
      </c>
      <c r="Y10" s="891"/>
      <c r="Z10" s="252"/>
      <c r="AA10" s="252"/>
      <c r="AB10" s="252"/>
    </row>
    <row r="11" spans="1:38" ht="20.25" customHeight="1" x14ac:dyDescent="0.2">
      <c r="A11" s="115"/>
      <c r="B11" s="881" t="s">
        <v>780</v>
      </c>
      <c r="C11" s="881"/>
      <c r="D11" s="91"/>
      <c r="E11" s="91"/>
      <c r="F11" s="91"/>
      <c r="G11" s="881" t="s">
        <v>202</v>
      </c>
      <c r="H11" s="881"/>
      <c r="I11" s="91"/>
      <c r="J11" s="115"/>
      <c r="K11" s="881" t="s">
        <v>780</v>
      </c>
      <c r="L11" s="881"/>
      <c r="M11" s="91"/>
      <c r="N11" s="91"/>
      <c r="O11" s="91"/>
      <c r="P11" s="881"/>
      <c r="Q11" s="881"/>
      <c r="R11" s="91"/>
      <c r="T11" s="253" t="s">
        <v>229</v>
      </c>
      <c r="U11" s="883" t="s">
        <v>804</v>
      </c>
      <c r="V11" s="883"/>
      <c r="W11" s="883"/>
      <c r="X11" s="888"/>
      <c r="Y11" s="888"/>
      <c r="Z11" s="252"/>
      <c r="AA11" s="252"/>
      <c r="AB11" s="252"/>
      <c r="AC11" s="115"/>
      <c r="AD11" s="881" t="s">
        <v>780</v>
      </c>
      <c r="AE11" s="881"/>
      <c r="AF11" s="91"/>
      <c r="AG11" s="91"/>
      <c r="AH11" s="91"/>
      <c r="AI11" s="881" t="s">
        <v>202</v>
      </c>
      <c r="AJ11" s="881"/>
      <c r="AK11" s="91"/>
    </row>
    <row r="12" spans="1:38" ht="20.25" customHeight="1" x14ac:dyDescent="0.2">
      <c r="A12" s="648" t="s">
        <v>292</v>
      </c>
      <c r="B12" s="648"/>
      <c r="C12" s="882" t="s">
        <v>775</v>
      </c>
      <c r="D12" s="882"/>
      <c r="E12" s="882" t="s">
        <v>777</v>
      </c>
      <c r="F12" s="882"/>
      <c r="G12" s="153"/>
      <c r="H12" s="153" t="s">
        <v>287</v>
      </c>
      <c r="I12" s="153"/>
      <c r="J12" s="648" t="s">
        <v>292</v>
      </c>
      <c r="K12" s="648"/>
      <c r="L12" s="882" t="s">
        <v>775</v>
      </c>
      <c r="M12" s="882"/>
      <c r="N12" s="882" t="s">
        <v>777</v>
      </c>
      <c r="O12" s="882"/>
      <c r="P12" s="153"/>
      <c r="Q12" s="153"/>
      <c r="R12" s="153"/>
      <c r="T12" s="253" t="s">
        <v>230</v>
      </c>
      <c r="U12" s="365" t="s">
        <v>803</v>
      </c>
      <c r="V12" s="365"/>
      <c r="W12" s="365"/>
      <c r="X12" s="888"/>
      <c r="Y12" s="888"/>
      <c r="Z12" s="251"/>
      <c r="AA12" s="251"/>
      <c r="AB12" s="251"/>
      <c r="AC12" s="648" t="s">
        <v>292</v>
      </c>
      <c r="AD12" s="648"/>
      <c r="AE12" s="882" t="s">
        <v>775</v>
      </c>
      <c r="AF12" s="882"/>
      <c r="AG12" s="882" t="s">
        <v>777</v>
      </c>
      <c r="AH12" s="882"/>
      <c r="AI12" s="153"/>
      <c r="AJ12" s="153" t="s">
        <v>287</v>
      </c>
      <c r="AK12" s="153"/>
    </row>
    <row r="13" spans="1:38" ht="20.25" customHeight="1" x14ac:dyDescent="0.2">
      <c r="A13" s="648" t="s">
        <v>760</v>
      </c>
      <c r="B13" s="648"/>
      <c r="C13" s="882" t="s">
        <v>776</v>
      </c>
      <c r="D13" s="882"/>
      <c r="E13" s="882" t="s">
        <v>778</v>
      </c>
      <c r="F13" s="882"/>
      <c r="H13" s="154" t="s">
        <v>288</v>
      </c>
      <c r="J13" s="648" t="s">
        <v>760</v>
      </c>
      <c r="K13" s="648"/>
      <c r="L13" s="882" t="s">
        <v>776</v>
      </c>
      <c r="M13" s="882"/>
      <c r="N13" s="882" t="s">
        <v>778</v>
      </c>
      <c r="O13" s="882"/>
      <c r="Q13" s="154"/>
      <c r="S13" s="153"/>
      <c r="T13" s="254" t="s">
        <v>231</v>
      </c>
      <c r="U13" s="365" t="s">
        <v>802</v>
      </c>
      <c r="V13" s="365"/>
      <c r="W13" s="365"/>
      <c r="X13" s="888"/>
      <c r="Y13" s="888"/>
      <c r="Z13" s="251"/>
      <c r="AA13" s="251"/>
      <c r="AB13" s="251"/>
      <c r="AC13" s="648" t="s">
        <v>760</v>
      </c>
      <c r="AD13" s="648"/>
      <c r="AE13" s="882" t="s">
        <v>776</v>
      </c>
      <c r="AF13" s="882"/>
      <c r="AG13" s="882" t="s">
        <v>778</v>
      </c>
      <c r="AH13" s="882"/>
      <c r="AJ13" s="154" t="s">
        <v>288</v>
      </c>
    </row>
    <row r="14" spans="1:38" ht="20.25" customHeight="1" x14ac:dyDescent="0.2">
      <c r="K14" s="881"/>
      <c r="L14" s="881"/>
      <c r="M14" s="881"/>
      <c r="N14" s="881"/>
      <c r="O14" s="153"/>
      <c r="P14" s="153"/>
      <c r="Q14" s="153"/>
      <c r="R14" s="153"/>
      <c r="S14" s="153"/>
      <c r="T14" s="254"/>
      <c r="U14" s="345"/>
      <c r="V14" s="345"/>
      <c r="W14" s="345"/>
      <c r="X14" s="366"/>
      <c r="Y14" s="366"/>
      <c r="Z14" s="881"/>
      <c r="AA14" s="881"/>
      <c r="AB14" s="255"/>
    </row>
    <row r="15" spans="1:38" ht="20.25" customHeight="1" x14ac:dyDescent="0.2">
      <c r="B15" s="154"/>
      <c r="E15" s="154"/>
      <c r="K15" s="881" t="s">
        <v>192</v>
      </c>
      <c r="L15" s="881"/>
      <c r="M15" s="881"/>
      <c r="N15" s="881"/>
      <c r="T15" s="254"/>
      <c r="U15" s="365"/>
      <c r="V15" s="365"/>
      <c r="W15" s="365"/>
      <c r="X15" s="366"/>
      <c r="Y15" s="366"/>
      <c r="Z15" s="248"/>
      <c r="AA15" s="248"/>
      <c r="AB15" s="255"/>
      <c r="AD15" s="154"/>
      <c r="AG15" s="154"/>
    </row>
    <row r="16" spans="1:38" ht="20.25" customHeight="1" x14ac:dyDescent="0.2">
      <c r="B16" s="154"/>
      <c r="E16" s="154"/>
      <c r="T16" s="254"/>
      <c r="U16" s="365"/>
      <c r="V16" s="365"/>
      <c r="W16" s="365"/>
      <c r="X16" s="366"/>
      <c r="Y16" s="366"/>
      <c r="Z16" s="256"/>
      <c r="AA16" s="256"/>
      <c r="AB16" s="256"/>
      <c r="AD16" s="154"/>
      <c r="AG16" s="154"/>
    </row>
    <row r="17" spans="1:33" ht="20.25" customHeight="1" x14ac:dyDescent="0.2">
      <c r="B17" s="154"/>
      <c r="E17" s="154"/>
      <c r="K17" s="154" t="s">
        <v>762</v>
      </c>
      <c r="T17" s="254"/>
      <c r="U17" s="365"/>
      <c r="V17" s="365"/>
      <c r="W17" s="365"/>
      <c r="X17" s="366"/>
      <c r="Y17" s="366"/>
      <c r="Z17" s="256"/>
      <c r="AA17" s="256"/>
      <c r="AB17" s="256"/>
      <c r="AD17" s="154"/>
      <c r="AG17" s="154"/>
    </row>
    <row r="18" spans="1:33" x14ac:dyDescent="0.2">
      <c r="A18" s="881" t="s">
        <v>192</v>
      </c>
      <c r="B18" s="881"/>
      <c r="C18" s="881"/>
      <c r="D18" s="881"/>
      <c r="J18" s="115"/>
      <c r="T18" s="248"/>
      <c r="U18" s="248"/>
      <c r="V18" s="251"/>
      <c r="W18" s="251"/>
      <c r="X18" s="251"/>
      <c r="Y18" s="256"/>
      <c r="Z18" s="256"/>
      <c r="AA18" s="256"/>
      <c r="AB18" s="256"/>
      <c r="AC18" s="881" t="s">
        <v>192</v>
      </c>
      <c r="AD18" s="881"/>
      <c r="AE18" s="881"/>
      <c r="AF18" s="881"/>
    </row>
    <row r="19" spans="1:33" x14ac:dyDescent="0.2">
      <c r="T19" s="251"/>
      <c r="U19" s="251"/>
      <c r="V19" s="251"/>
      <c r="W19" s="251"/>
      <c r="X19" s="251"/>
      <c r="Y19" s="251"/>
      <c r="Z19" s="251"/>
      <c r="AA19" s="251"/>
      <c r="AB19" s="251"/>
    </row>
    <row r="20" spans="1:33" x14ac:dyDescent="0.2">
      <c r="A20" s="154" t="s">
        <v>762</v>
      </c>
      <c r="T20" s="251"/>
      <c r="U20" s="251"/>
      <c r="V20" s="251"/>
      <c r="W20" s="251"/>
      <c r="X20" s="251"/>
      <c r="Y20" s="251"/>
      <c r="Z20" s="251"/>
      <c r="AA20" s="251"/>
      <c r="AB20" s="251"/>
      <c r="AC20" s="154" t="s">
        <v>762</v>
      </c>
    </row>
    <row r="21" spans="1:33" x14ac:dyDescent="0.2">
      <c r="T21" s="251"/>
      <c r="U21" s="251"/>
      <c r="V21" s="251"/>
      <c r="W21" s="251"/>
      <c r="X21" s="251"/>
      <c r="Y21" s="251"/>
      <c r="Z21" s="251"/>
      <c r="AA21" s="251"/>
      <c r="AB21" s="251"/>
    </row>
    <row r="22" spans="1:33" x14ac:dyDescent="0.2">
      <c r="T22" s="248"/>
      <c r="U22" s="248"/>
      <c r="V22" s="154"/>
      <c r="W22" s="154"/>
      <c r="X22" s="154"/>
      <c r="Y22" s="154"/>
      <c r="Z22" s="154"/>
      <c r="AA22" s="154"/>
      <c r="AB22" s="154"/>
    </row>
    <row r="23" spans="1:33" x14ac:dyDescent="0.2">
      <c r="T23" s="251"/>
      <c r="U23" s="251"/>
      <c r="V23" s="251"/>
      <c r="W23" s="251"/>
      <c r="X23" s="251"/>
      <c r="Y23" s="251"/>
      <c r="Z23" s="251"/>
      <c r="AA23" s="251"/>
      <c r="AB23" s="251"/>
    </row>
    <row r="24" spans="1:33" x14ac:dyDescent="0.2">
      <c r="T24" s="251"/>
      <c r="U24" s="251"/>
      <c r="V24" s="251"/>
      <c r="W24" s="251"/>
      <c r="X24" s="251"/>
      <c r="Y24" s="251"/>
      <c r="Z24" s="251"/>
      <c r="AA24" s="251"/>
      <c r="AB24" s="251"/>
    </row>
    <row r="25" spans="1:33" x14ac:dyDescent="0.2">
      <c r="T25" s="251"/>
      <c r="U25" s="251"/>
      <c r="V25" s="251"/>
      <c r="W25" s="251"/>
      <c r="X25" s="251"/>
      <c r="Y25" s="251"/>
      <c r="Z25" s="251"/>
      <c r="AA25" s="251"/>
      <c r="AB25" s="251"/>
    </row>
  </sheetData>
  <mergeCells count="58">
    <mergeCell ref="AC18:AF18"/>
    <mergeCell ref="AD3:AL3"/>
    <mergeCell ref="AD4:AL4"/>
    <mergeCell ref="AC8:AK8"/>
    <mergeCell ref="AG9:AH9"/>
    <mergeCell ref="AD11:AE11"/>
    <mergeCell ref="AI11:AJ11"/>
    <mergeCell ref="AC12:AD12"/>
    <mergeCell ref="AE12:AF12"/>
    <mergeCell ref="AG12:AH12"/>
    <mergeCell ref="T5:AC5"/>
    <mergeCell ref="T6:AB7"/>
    <mergeCell ref="Z14:AA14"/>
    <mergeCell ref="X12:Y12"/>
    <mergeCell ref="X13:Y13"/>
    <mergeCell ref="AC13:AD13"/>
    <mergeCell ref="AE13:AF13"/>
    <mergeCell ref="AG13:AH13"/>
    <mergeCell ref="T9:AB9"/>
    <mergeCell ref="T10:W10"/>
    <mergeCell ref="X10:Y10"/>
    <mergeCell ref="U11:W11"/>
    <mergeCell ref="AC6:AK6"/>
    <mergeCell ref="AC7:AK7"/>
    <mergeCell ref="X11:Y11"/>
    <mergeCell ref="A3:I3"/>
    <mergeCell ref="A4:I4"/>
    <mergeCell ref="J3:S3"/>
    <mergeCell ref="T4:AC4"/>
    <mergeCell ref="T3:AB3"/>
    <mergeCell ref="G11:H11"/>
    <mergeCell ref="P11:Q11"/>
    <mergeCell ref="J4:S4"/>
    <mergeCell ref="A8:I8"/>
    <mergeCell ref="E9:F9"/>
    <mergeCell ref="B11:C11"/>
    <mergeCell ref="K11:L11"/>
    <mergeCell ref="J6:S6"/>
    <mergeCell ref="J8:R8"/>
    <mergeCell ref="A6:I6"/>
    <mergeCell ref="A7:I7"/>
    <mergeCell ref="J7:K7"/>
    <mergeCell ref="M7:R7"/>
    <mergeCell ref="A18:D18"/>
    <mergeCell ref="J12:K12"/>
    <mergeCell ref="J13:K13"/>
    <mergeCell ref="A12:B12"/>
    <mergeCell ref="A13:B13"/>
    <mergeCell ref="C12:D12"/>
    <mergeCell ref="C13:D13"/>
    <mergeCell ref="E12:F12"/>
    <mergeCell ref="E13:F13"/>
    <mergeCell ref="K14:N14"/>
    <mergeCell ref="K15:N15"/>
    <mergeCell ref="L12:M12"/>
    <mergeCell ref="N12:O12"/>
    <mergeCell ref="L13:M13"/>
    <mergeCell ref="N13:O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workbookViewId="0">
      <selection activeCell="F14" sqref="F14"/>
    </sheetView>
  </sheetViews>
  <sheetFormatPr defaultRowHeight="12.75" x14ac:dyDescent="0.2"/>
  <cols>
    <col min="1" max="1" width="9.5703125" customWidth="1"/>
    <col min="2" max="2" width="14.7109375" customWidth="1"/>
    <col min="3" max="3" width="10.28515625" customWidth="1"/>
    <col min="4" max="4" width="12.42578125" customWidth="1"/>
    <col min="5" max="5" width="2.28515625" customWidth="1"/>
    <col min="6" max="6" width="35.28515625" customWidth="1"/>
    <col min="7" max="7" width="4.5703125" customWidth="1"/>
    <col min="8" max="8" width="5" customWidth="1"/>
    <col min="9" max="9" width="18.7109375" customWidth="1"/>
    <col min="10" max="10" width="7.42578125" customWidth="1"/>
    <col min="11" max="11" width="7.5703125" customWidth="1"/>
    <col min="12" max="12" width="7" customWidth="1"/>
    <col min="13" max="13" width="10.140625" bestFit="1" customWidth="1"/>
    <col min="14" max="14" width="7.28515625" customWidth="1"/>
    <col min="15" max="15" width="6.28515625" customWidth="1"/>
    <col min="16" max="16" width="6.140625" customWidth="1"/>
    <col min="17" max="17" width="7.28515625" customWidth="1"/>
    <col min="18" max="18" width="7" customWidth="1"/>
    <col min="19" max="19" width="6.28515625" customWidth="1"/>
    <col min="20" max="20" width="6.5703125" customWidth="1"/>
    <col min="21" max="21" width="7.28515625" customWidth="1"/>
  </cols>
  <sheetData>
    <row r="1" spans="1:13" ht="15.75" thickBot="1" x14ac:dyDescent="0.3">
      <c r="G1" s="589" t="s">
        <v>18</v>
      </c>
      <c r="H1" s="590"/>
      <c r="I1" s="1"/>
    </row>
    <row r="2" spans="1:13" x14ac:dyDescent="0.2">
      <c r="A2" s="10"/>
      <c r="B2" s="11"/>
      <c r="C2" s="11"/>
      <c r="D2" s="11"/>
      <c r="E2" s="11"/>
      <c r="F2" s="11"/>
      <c r="G2" s="11"/>
      <c r="H2" s="11"/>
      <c r="I2" s="12"/>
    </row>
    <row r="3" spans="1:13" ht="15" x14ac:dyDescent="0.25">
      <c r="A3" s="591" t="s">
        <v>19</v>
      </c>
      <c r="B3" s="592"/>
      <c r="C3" s="592"/>
      <c r="D3" s="592"/>
      <c r="E3" s="592"/>
      <c r="F3" s="592"/>
      <c r="G3" s="592"/>
      <c r="H3" s="592"/>
      <c r="I3" s="593"/>
    </row>
    <row r="4" spans="1:13" ht="14.25" x14ac:dyDescent="0.2">
      <c r="A4" s="579"/>
      <c r="B4" s="580"/>
      <c r="C4" s="580"/>
      <c r="D4" s="580"/>
      <c r="E4" s="580"/>
      <c r="F4" s="580"/>
      <c r="G4" s="580"/>
      <c r="H4" s="580"/>
      <c r="I4" s="61"/>
    </row>
    <row r="5" spans="1:13" ht="14.25" x14ac:dyDescent="0.2">
      <c r="A5" s="60"/>
      <c r="B5" s="59"/>
      <c r="C5" s="64" t="s">
        <v>20</v>
      </c>
      <c r="D5" s="59"/>
      <c r="E5" s="59" t="s">
        <v>21</v>
      </c>
      <c r="F5" s="39">
        <v>41248</v>
      </c>
      <c r="G5" s="59"/>
      <c r="H5" s="59"/>
      <c r="I5" s="61"/>
    </row>
    <row r="6" spans="1:13" ht="14.25" x14ac:dyDescent="0.2">
      <c r="A6" s="60"/>
      <c r="B6" s="59"/>
      <c r="C6" s="40" t="s">
        <v>22</v>
      </c>
      <c r="D6" s="40"/>
      <c r="E6" s="59" t="s">
        <v>21</v>
      </c>
      <c r="F6" s="504" t="s">
        <v>863</v>
      </c>
      <c r="G6" s="59"/>
      <c r="H6" s="59"/>
      <c r="I6" s="61"/>
    </row>
    <row r="7" spans="1:13" ht="14.25" x14ac:dyDescent="0.2">
      <c r="A7" s="60"/>
      <c r="B7" s="59"/>
      <c r="C7" s="64" t="s">
        <v>23</v>
      </c>
      <c r="D7" s="59"/>
      <c r="E7" s="59" t="s">
        <v>21</v>
      </c>
      <c r="F7" s="64">
        <v>2012</v>
      </c>
      <c r="G7" s="59"/>
      <c r="H7" s="59"/>
      <c r="I7" s="61"/>
    </row>
    <row r="8" spans="1:13" ht="15" thickBot="1" x14ac:dyDescent="0.25">
      <c r="A8" s="60"/>
      <c r="B8" s="59"/>
      <c r="C8" s="64"/>
      <c r="D8" s="59"/>
      <c r="E8" s="59"/>
      <c r="F8" s="59"/>
      <c r="G8" s="59"/>
      <c r="H8" s="59"/>
      <c r="I8" s="61"/>
    </row>
    <row r="9" spans="1:13" ht="15.75" x14ac:dyDescent="0.2">
      <c r="A9" s="594" t="s">
        <v>93</v>
      </c>
      <c r="B9" s="595"/>
      <c r="C9" s="595"/>
      <c r="D9" s="595"/>
      <c r="E9" s="62" t="s">
        <v>21</v>
      </c>
      <c r="F9" s="93" t="s">
        <v>291</v>
      </c>
      <c r="G9" s="70"/>
      <c r="H9" s="70"/>
      <c r="I9" s="71"/>
    </row>
    <row r="10" spans="1:13" ht="14.25" x14ac:dyDescent="0.2">
      <c r="A10" s="125"/>
      <c r="B10" s="126"/>
      <c r="C10" s="126"/>
      <c r="D10" s="40"/>
      <c r="E10" s="122"/>
      <c r="F10" s="72"/>
      <c r="G10" s="72"/>
      <c r="H10" s="72"/>
      <c r="I10" s="69"/>
    </row>
    <row r="11" spans="1:13" ht="14.25" x14ac:dyDescent="0.2">
      <c r="A11" s="125" t="s">
        <v>115</v>
      </c>
      <c r="B11" s="126"/>
      <c r="C11" s="126"/>
      <c r="D11" s="40"/>
      <c r="E11" s="122"/>
      <c r="F11" s="249"/>
      <c r="G11" s="249"/>
      <c r="H11" s="249"/>
      <c r="I11" s="250"/>
    </row>
    <row r="12" spans="1:13" ht="14.25" x14ac:dyDescent="0.2">
      <c r="A12" s="596" t="s">
        <v>94</v>
      </c>
      <c r="B12" s="597"/>
      <c r="C12" s="597"/>
      <c r="D12" s="597"/>
      <c r="E12" s="42" t="s">
        <v>21</v>
      </c>
      <c r="F12" s="40"/>
      <c r="G12" s="122"/>
      <c r="H12" s="122"/>
      <c r="I12" s="43"/>
    </row>
    <row r="13" spans="1:13" ht="15.75" x14ac:dyDescent="0.25">
      <c r="A13" s="67" t="s">
        <v>95</v>
      </c>
      <c r="B13" s="68"/>
      <c r="C13" s="68"/>
      <c r="D13" s="40"/>
      <c r="E13" s="122" t="s">
        <v>21</v>
      </c>
      <c r="F13" s="598" t="s">
        <v>762</v>
      </c>
      <c r="G13" s="598"/>
      <c r="H13" s="598"/>
      <c r="I13" s="599"/>
    </row>
    <row r="14" spans="1:13" ht="14.25" x14ac:dyDescent="0.2">
      <c r="A14" s="587" t="s">
        <v>24</v>
      </c>
      <c r="B14" s="588"/>
      <c r="C14" s="588"/>
      <c r="D14" s="588"/>
      <c r="E14" s="122" t="s">
        <v>21</v>
      </c>
      <c r="F14" s="94">
        <v>499000</v>
      </c>
      <c r="G14" s="122"/>
      <c r="H14" s="122"/>
      <c r="I14" s="123"/>
    </row>
    <row r="15" spans="1:13" ht="14.25" x14ac:dyDescent="0.2">
      <c r="A15" s="587" t="s">
        <v>25</v>
      </c>
      <c r="B15" s="588"/>
      <c r="C15" s="588"/>
      <c r="D15" s="588"/>
      <c r="E15" s="122" t="s">
        <v>21</v>
      </c>
      <c r="F15" s="39">
        <v>41001</v>
      </c>
      <c r="G15" s="122"/>
      <c r="H15" s="122"/>
      <c r="I15" s="123"/>
      <c r="M15" s="438"/>
    </row>
    <row r="16" spans="1:13" ht="14.25" x14ac:dyDescent="0.2">
      <c r="A16" s="587" t="s">
        <v>26</v>
      </c>
      <c r="B16" s="588"/>
      <c r="C16" s="588"/>
      <c r="D16" s="588"/>
      <c r="E16" s="122" t="s">
        <v>21</v>
      </c>
      <c r="F16" s="39">
        <v>41053</v>
      </c>
      <c r="G16" s="122"/>
      <c r="H16" s="122"/>
      <c r="I16" s="41"/>
    </row>
    <row r="17" spans="1:13" ht="14.25" x14ac:dyDescent="0.2">
      <c r="A17" s="587" t="s">
        <v>28</v>
      </c>
      <c r="B17" s="588"/>
      <c r="C17" s="588"/>
      <c r="D17" s="588"/>
      <c r="E17" s="122" t="s">
        <v>21</v>
      </c>
      <c r="F17" s="364" t="s">
        <v>27</v>
      </c>
      <c r="G17" s="122"/>
      <c r="H17" s="122"/>
      <c r="I17" s="41"/>
      <c r="M17" s="438"/>
    </row>
    <row r="18" spans="1:13" ht="14.25" x14ac:dyDescent="0.2">
      <c r="A18" s="587" t="s">
        <v>29</v>
      </c>
      <c r="B18" s="588"/>
      <c r="C18" s="588"/>
      <c r="D18" s="588"/>
      <c r="E18" s="122" t="s">
        <v>21</v>
      </c>
      <c r="F18" s="364" t="s">
        <v>30</v>
      </c>
      <c r="G18" s="122"/>
      <c r="H18" s="122"/>
      <c r="I18" s="43"/>
    </row>
    <row r="19" spans="1:13" ht="14.25" x14ac:dyDescent="0.2">
      <c r="A19" s="587" t="s">
        <v>177</v>
      </c>
      <c r="B19" s="588"/>
      <c r="C19" s="588"/>
      <c r="D19" s="588"/>
      <c r="E19" s="122"/>
      <c r="F19" s="437">
        <v>41058</v>
      </c>
      <c r="G19" s="122"/>
      <c r="H19" s="122"/>
      <c r="I19" s="43"/>
    </row>
    <row r="20" spans="1:13" ht="14.25" x14ac:dyDescent="0.2">
      <c r="A20" s="587" t="s">
        <v>31</v>
      </c>
      <c r="B20" s="588"/>
      <c r="C20" s="588"/>
      <c r="D20" s="588"/>
      <c r="E20" s="122" t="s">
        <v>21</v>
      </c>
      <c r="F20" s="39">
        <v>41058</v>
      </c>
      <c r="G20" s="122"/>
      <c r="H20" s="122"/>
      <c r="I20" s="43"/>
    </row>
    <row r="21" spans="1:13" ht="14.25" x14ac:dyDescent="0.2">
      <c r="A21" s="587" t="s">
        <v>32</v>
      </c>
      <c r="B21" s="588"/>
      <c r="C21" s="588"/>
      <c r="D21" s="588"/>
      <c r="E21" s="122" t="s">
        <v>21</v>
      </c>
      <c r="F21" s="39" t="s">
        <v>779</v>
      </c>
      <c r="G21" s="126"/>
      <c r="H21" s="126"/>
      <c r="I21" s="41"/>
    </row>
    <row r="22" spans="1:13" ht="14.25" x14ac:dyDescent="0.2">
      <c r="A22" s="587" t="s">
        <v>33</v>
      </c>
      <c r="B22" s="588"/>
      <c r="C22" s="588"/>
      <c r="D22" s="588"/>
      <c r="E22" s="122" t="s">
        <v>21</v>
      </c>
      <c r="F22" s="39">
        <v>41267</v>
      </c>
      <c r="G22" s="40"/>
      <c r="H22" s="40"/>
      <c r="I22" s="43"/>
    </row>
    <row r="23" spans="1:13" ht="14.25" x14ac:dyDescent="0.2">
      <c r="A23" s="587" t="s">
        <v>34</v>
      </c>
      <c r="B23" s="588"/>
      <c r="C23" s="588"/>
      <c r="D23" s="588"/>
      <c r="E23" s="122" t="s">
        <v>21</v>
      </c>
      <c r="F23" s="40"/>
      <c r="G23" s="40"/>
      <c r="H23" s="40"/>
      <c r="I23" s="43"/>
    </row>
    <row r="24" spans="1:13" ht="14.25" x14ac:dyDescent="0.2">
      <c r="A24" s="596" t="s">
        <v>35</v>
      </c>
      <c r="B24" s="597"/>
      <c r="C24" s="597"/>
      <c r="D24" s="597"/>
      <c r="E24" s="122" t="s">
        <v>21</v>
      </c>
      <c r="F24" s="40"/>
      <c r="G24" s="40"/>
      <c r="H24" s="40"/>
      <c r="I24" s="43"/>
    </row>
    <row r="25" spans="1:13" ht="14.25" x14ac:dyDescent="0.2">
      <c r="A25" s="125"/>
      <c r="B25" s="126"/>
      <c r="C25" s="126"/>
      <c r="D25" s="126"/>
      <c r="E25" s="40"/>
      <c r="F25" s="40"/>
      <c r="G25" s="40"/>
      <c r="H25" s="40"/>
      <c r="I25" s="43"/>
    </row>
    <row r="26" spans="1:13" ht="15" thickBot="1" x14ac:dyDescent="0.25">
      <c r="A26" s="125"/>
      <c r="B26" s="126"/>
      <c r="C26" s="126"/>
      <c r="D26" s="126"/>
      <c r="E26" s="40"/>
      <c r="F26" s="40"/>
      <c r="G26" s="40"/>
      <c r="H26" s="40"/>
      <c r="I26" s="43"/>
    </row>
    <row r="27" spans="1:13" ht="15" x14ac:dyDescent="0.25">
      <c r="A27" s="74"/>
      <c r="B27" s="128"/>
      <c r="C27" s="128"/>
      <c r="D27" s="128"/>
      <c r="E27" s="82"/>
      <c r="F27" s="82"/>
      <c r="G27" s="47"/>
      <c r="H27" s="47"/>
      <c r="I27" s="48"/>
    </row>
    <row r="28" spans="1:13" ht="18" customHeight="1" x14ac:dyDescent="0.2">
      <c r="A28" s="582"/>
      <c r="B28" s="580"/>
      <c r="C28" s="583"/>
      <c r="D28" s="583"/>
      <c r="E28" s="263"/>
      <c r="F28" s="270" t="s">
        <v>191</v>
      </c>
      <c r="G28" s="577" t="s">
        <v>191</v>
      </c>
      <c r="H28" s="577"/>
      <c r="I28" s="578"/>
    </row>
    <row r="29" spans="1:13" ht="14.25" x14ac:dyDescent="0.2">
      <c r="A29" s="584"/>
      <c r="B29" s="585"/>
      <c r="C29" s="580"/>
      <c r="D29" s="580"/>
      <c r="E29" s="586"/>
      <c r="F29" s="586"/>
      <c r="G29" s="358"/>
      <c r="H29" s="358"/>
      <c r="I29" s="359"/>
    </row>
    <row r="30" spans="1:13" ht="14.25" x14ac:dyDescent="0.2">
      <c r="A30" s="584"/>
      <c r="B30" s="585"/>
      <c r="C30" s="581"/>
      <c r="D30" s="581"/>
      <c r="E30" s="269"/>
      <c r="F30" s="360" t="s">
        <v>292</v>
      </c>
      <c r="G30" s="358"/>
      <c r="H30" s="358"/>
      <c r="I30" s="359"/>
    </row>
    <row r="31" spans="1:13" ht="14.25" x14ac:dyDescent="0.2">
      <c r="A31" s="579"/>
      <c r="B31" s="580"/>
      <c r="C31" s="581"/>
      <c r="D31" s="581"/>
      <c r="E31" s="269"/>
      <c r="F31" s="360" t="s">
        <v>293</v>
      </c>
      <c r="G31" s="358"/>
      <c r="H31" s="358"/>
      <c r="I31" s="359"/>
    </row>
    <row r="32" spans="1:13" ht="14.25" x14ac:dyDescent="0.2">
      <c r="A32" s="579"/>
      <c r="B32" s="580"/>
      <c r="C32" s="580"/>
      <c r="D32" s="580"/>
      <c r="E32" s="586"/>
      <c r="F32" s="586"/>
      <c r="G32" s="601"/>
      <c r="H32" s="601"/>
      <c r="I32" s="602"/>
    </row>
    <row r="33" spans="1:9" ht="14.25" x14ac:dyDescent="0.2">
      <c r="A33" s="579"/>
      <c r="B33" s="580"/>
      <c r="C33" s="580"/>
      <c r="D33" s="580"/>
      <c r="E33" s="95"/>
      <c r="F33" s="95" t="s">
        <v>775</v>
      </c>
      <c r="G33" s="447" t="s">
        <v>777</v>
      </c>
      <c r="H33" s="447"/>
      <c r="I33" s="448"/>
    </row>
    <row r="34" spans="1:9" ht="14.25" x14ac:dyDescent="0.2">
      <c r="A34" s="579"/>
      <c r="B34" s="580"/>
      <c r="C34" s="580"/>
      <c r="D34" s="580"/>
      <c r="F34" s="95" t="s">
        <v>776</v>
      </c>
      <c r="G34" s="95" t="s">
        <v>778</v>
      </c>
      <c r="H34" s="95"/>
      <c r="I34" s="449"/>
    </row>
    <row r="35" spans="1:9" ht="14.25" x14ac:dyDescent="0.2">
      <c r="A35" s="124"/>
      <c r="B35" s="122"/>
      <c r="C35" s="122"/>
      <c r="D35" s="122"/>
      <c r="E35" s="367"/>
      <c r="F35" s="367"/>
      <c r="G35" s="367"/>
      <c r="H35" s="367"/>
      <c r="I35" s="368"/>
    </row>
    <row r="36" spans="1:9" ht="14.25" x14ac:dyDescent="0.2">
      <c r="A36" s="124"/>
      <c r="B36" s="122"/>
      <c r="C36" s="122"/>
      <c r="D36" s="122"/>
      <c r="E36" s="122"/>
      <c r="F36" s="122"/>
      <c r="G36" s="122"/>
      <c r="H36" s="122"/>
      <c r="I36" s="123"/>
    </row>
    <row r="37" spans="1:9" ht="14.25" x14ac:dyDescent="0.2">
      <c r="A37" s="124"/>
      <c r="B37" s="122"/>
      <c r="C37" s="122"/>
      <c r="D37" s="122"/>
      <c r="E37" s="122"/>
      <c r="F37" s="122"/>
      <c r="G37" s="122"/>
      <c r="H37" s="122"/>
      <c r="I37" s="123"/>
    </row>
    <row r="38" spans="1:9" ht="14.25" x14ac:dyDescent="0.2">
      <c r="A38" s="124"/>
      <c r="B38" s="122"/>
      <c r="C38" s="122"/>
      <c r="D38" s="122"/>
      <c r="E38" s="122"/>
      <c r="F38" s="122"/>
      <c r="G38" s="122"/>
      <c r="H38" s="122"/>
      <c r="I38" s="123"/>
    </row>
    <row r="39" spans="1:9" ht="14.25" x14ac:dyDescent="0.2">
      <c r="A39" s="124"/>
      <c r="B39" s="122"/>
      <c r="C39" s="126"/>
      <c r="D39" s="122"/>
      <c r="E39" s="122"/>
      <c r="F39" s="122"/>
      <c r="G39" s="122"/>
      <c r="H39" s="122"/>
      <c r="I39" s="43"/>
    </row>
    <row r="40" spans="1:9" ht="15" thickBot="1" x14ac:dyDescent="0.25">
      <c r="A40" s="44"/>
      <c r="B40" s="45"/>
      <c r="C40" s="45"/>
      <c r="D40" s="45"/>
      <c r="E40" s="45"/>
      <c r="F40" s="45"/>
      <c r="G40" s="45"/>
      <c r="H40" s="45"/>
      <c r="I40" s="46"/>
    </row>
    <row r="41" spans="1:9" ht="15" x14ac:dyDescent="0.2">
      <c r="A41" s="603" t="s">
        <v>38</v>
      </c>
      <c r="B41" s="604"/>
      <c r="C41" s="604"/>
      <c r="D41" s="47"/>
      <c r="E41" s="47"/>
      <c r="F41" s="47"/>
      <c r="G41" s="47"/>
      <c r="H41" s="47"/>
      <c r="I41" s="48"/>
    </row>
    <row r="42" spans="1:9" ht="14.25" x14ac:dyDescent="0.2">
      <c r="A42" s="49" t="s">
        <v>117</v>
      </c>
      <c r="B42" s="50" t="s">
        <v>39</v>
      </c>
      <c r="C42" s="40"/>
      <c r="D42" s="583" t="s">
        <v>40</v>
      </c>
      <c r="E42" s="583"/>
      <c r="F42" s="583"/>
      <c r="G42" s="583" t="s">
        <v>183</v>
      </c>
      <c r="H42" s="583"/>
      <c r="I42" s="600"/>
    </row>
    <row r="43" spans="1:9" ht="14.25" x14ac:dyDescent="0.2">
      <c r="A43" s="304" t="s">
        <v>110</v>
      </c>
      <c r="B43" s="122" t="s">
        <v>41</v>
      </c>
      <c r="C43" s="40"/>
      <c r="D43" s="68"/>
      <c r="E43" s="68"/>
      <c r="F43" s="68" t="s">
        <v>188</v>
      </c>
      <c r="G43" s="580" t="s">
        <v>184</v>
      </c>
      <c r="H43" s="580"/>
      <c r="I43" s="605"/>
    </row>
    <row r="44" spans="1:9" ht="14.25" x14ac:dyDescent="0.2">
      <c r="A44" s="125" t="s">
        <v>110</v>
      </c>
      <c r="B44" s="122" t="s">
        <v>41</v>
      </c>
      <c r="C44" s="40"/>
      <c r="D44" s="580" t="s">
        <v>42</v>
      </c>
      <c r="E44" s="580"/>
      <c r="F44" s="580"/>
      <c r="G44" s="580" t="s">
        <v>185</v>
      </c>
      <c r="H44" s="580"/>
      <c r="I44" s="605"/>
    </row>
    <row r="45" spans="1:9" ht="14.25" x14ac:dyDescent="0.2">
      <c r="A45" s="125" t="s">
        <v>110</v>
      </c>
      <c r="B45" s="122" t="s">
        <v>41</v>
      </c>
      <c r="C45" s="40"/>
      <c r="D45" s="580" t="s">
        <v>42</v>
      </c>
      <c r="E45" s="580"/>
      <c r="F45" s="580"/>
      <c r="G45" s="580" t="s">
        <v>186</v>
      </c>
      <c r="H45" s="580"/>
      <c r="I45" s="605"/>
    </row>
    <row r="46" spans="1:9" ht="14.25" x14ac:dyDescent="0.2">
      <c r="A46" s="125" t="s">
        <v>110</v>
      </c>
      <c r="B46" s="122" t="s">
        <v>41</v>
      </c>
      <c r="C46" s="40"/>
      <c r="D46" s="580" t="s">
        <v>42</v>
      </c>
      <c r="E46" s="580"/>
      <c r="F46" s="580"/>
      <c r="G46" s="580" t="s">
        <v>187</v>
      </c>
      <c r="H46" s="580"/>
      <c r="I46" s="605"/>
    </row>
    <row r="47" spans="1:9" ht="14.25" x14ac:dyDescent="0.2">
      <c r="A47" s="125" t="s">
        <v>110</v>
      </c>
      <c r="B47" s="122" t="s">
        <v>41</v>
      </c>
      <c r="C47" s="40"/>
      <c r="D47" s="580" t="s">
        <v>42</v>
      </c>
      <c r="E47" s="580"/>
      <c r="F47" s="580"/>
      <c r="G47" s="580" t="s">
        <v>187</v>
      </c>
      <c r="H47" s="580"/>
      <c r="I47" s="605"/>
    </row>
    <row r="48" spans="1:9" ht="14.25" x14ac:dyDescent="0.2">
      <c r="A48" s="125" t="s">
        <v>110</v>
      </c>
      <c r="B48" s="122" t="s">
        <v>41</v>
      </c>
      <c r="C48" s="40"/>
      <c r="D48" s="580" t="s">
        <v>42</v>
      </c>
      <c r="E48" s="580"/>
      <c r="F48" s="580"/>
      <c r="G48" s="580" t="s">
        <v>7</v>
      </c>
      <c r="H48" s="580"/>
      <c r="I48" s="605"/>
    </row>
    <row r="49" spans="1:9" ht="14.25" x14ac:dyDescent="0.2">
      <c r="A49" s="125"/>
      <c r="B49" s="122"/>
      <c r="C49" s="40"/>
      <c r="D49" s="122"/>
      <c r="E49" s="122"/>
      <c r="F49" s="122"/>
      <c r="G49" s="68"/>
      <c r="H49" s="68"/>
      <c r="I49" s="75"/>
    </row>
    <row r="50" spans="1:9" ht="14.25" x14ac:dyDescent="0.2">
      <c r="A50" s="125"/>
      <c r="B50" s="122"/>
      <c r="C50" s="40"/>
      <c r="D50" s="122"/>
      <c r="E50" s="122"/>
      <c r="F50" s="122"/>
      <c r="G50" s="68"/>
      <c r="H50" s="68"/>
      <c r="I50" s="75"/>
    </row>
    <row r="51" spans="1:9" ht="14.25" x14ac:dyDescent="0.2">
      <c r="A51" s="125"/>
      <c r="B51" s="122"/>
      <c r="C51" s="40"/>
      <c r="D51" s="122"/>
      <c r="E51" s="122"/>
      <c r="F51" s="122"/>
      <c r="G51" s="122"/>
      <c r="H51" s="122"/>
      <c r="I51" s="51"/>
    </row>
    <row r="52" spans="1:9" ht="14.25" x14ac:dyDescent="0.2">
      <c r="A52" s="125"/>
      <c r="B52" s="122"/>
      <c r="C52" s="40"/>
      <c r="D52" s="122"/>
      <c r="E52" s="122"/>
      <c r="F52" s="122"/>
      <c r="G52" s="122"/>
      <c r="H52" s="122"/>
      <c r="I52" s="51"/>
    </row>
    <row r="53" spans="1:9" ht="15" thickBot="1" x14ac:dyDescent="0.25">
      <c r="A53" s="176"/>
      <c r="B53" s="127"/>
      <c r="C53" s="45"/>
      <c r="D53" s="127"/>
      <c r="E53" s="127"/>
      <c r="F53" s="127"/>
      <c r="G53" s="127"/>
      <c r="H53" s="127"/>
      <c r="I53" s="177"/>
    </row>
  </sheetData>
  <mergeCells count="49">
    <mergeCell ref="D47:F47"/>
    <mergeCell ref="G47:I47"/>
    <mergeCell ref="D48:F48"/>
    <mergeCell ref="G48:I48"/>
    <mergeCell ref="G43:I43"/>
    <mergeCell ref="D44:F44"/>
    <mergeCell ref="G44:I44"/>
    <mergeCell ref="D45:F45"/>
    <mergeCell ref="G45:I45"/>
    <mergeCell ref="D46:F46"/>
    <mergeCell ref="G46:I46"/>
    <mergeCell ref="D42:F42"/>
    <mergeCell ref="G42:I42"/>
    <mergeCell ref="A32:B32"/>
    <mergeCell ref="C32:D32"/>
    <mergeCell ref="E32:F32"/>
    <mergeCell ref="G32:I32"/>
    <mergeCell ref="A33:B33"/>
    <mergeCell ref="C33:D33"/>
    <mergeCell ref="A34:B34"/>
    <mergeCell ref="C34:D34"/>
    <mergeCell ref="A41:C41"/>
    <mergeCell ref="A20:D20"/>
    <mergeCell ref="A21:D21"/>
    <mergeCell ref="A22:D22"/>
    <mergeCell ref="A23:D23"/>
    <mergeCell ref="A24:D24"/>
    <mergeCell ref="A19:D19"/>
    <mergeCell ref="G1:H1"/>
    <mergeCell ref="A3:I3"/>
    <mergeCell ref="A4:H4"/>
    <mergeCell ref="A9:D9"/>
    <mergeCell ref="A12:D12"/>
    <mergeCell ref="A14:D14"/>
    <mergeCell ref="A15:D15"/>
    <mergeCell ref="A16:D16"/>
    <mergeCell ref="A17:D17"/>
    <mergeCell ref="A18:D18"/>
    <mergeCell ref="F13:I13"/>
    <mergeCell ref="G28:I28"/>
    <mergeCell ref="A31:B31"/>
    <mergeCell ref="C30:D30"/>
    <mergeCell ref="C31:D31"/>
    <mergeCell ref="A28:B28"/>
    <mergeCell ref="C28:D28"/>
    <mergeCell ref="A30:B30"/>
    <mergeCell ref="A29:B29"/>
    <mergeCell ref="C29:D29"/>
    <mergeCell ref="E29:F29"/>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SheetLayoutView="100" workbookViewId="0">
      <selection activeCell="A17" sqref="A17"/>
    </sheetView>
  </sheetViews>
  <sheetFormatPr defaultRowHeight="15.75" x14ac:dyDescent="0.2"/>
  <cols>
    <col min="1" max="1" width="54" style="279" customWidth="1"/>
    <col min="2" max="2" width="13" style="279" customWidth="1"/>
    <col min="3" max="3" width="11.42578125" style="279" customWidth="1"/>
    <col min="4" max="4" width="25.5703125" style="279" customWidth="1"/>
    <col min="5" max="16384" width="9.140625" style="279"/>
  </cols>
  <sheetData>
    <row r="1" spans="1:4" ht="21" customHeight="1" x14ac:dyDescent="0.2">
      <c r="A1" s="621" t="s">
        <v>237</v>
      </c>
      <c r="B1" s="622"/>
      <c r="C1" s="622"/>
      <c r="D1" s="623"/>
    </row>
    <row r="2" spans="1:4" ht="21" customHeight="1" x14ac:dyDescent="0.2">
      <c r="A2" s="624" t="str">
        <f>+'ÖN BİLGİ'!F9</f>
        <v xml:space="preserve">Araklı Çankaya Yibo Lojman İnşaatı İşi </v>
      </c>
      <c r="B2" s="610"/>
      <c r="C2" s="610"/>
      <c r="D2" s="625"/>
    </row>
    <row r="3" spans="1:4" ht="21" customHeight="1" x14ac:dyDescent="0.2">
      <c r="A3" s="285">
        <f>+'ÖN BİLGİ'!F5</f>
        <v>41248</v>
      </c>
      <c r="B3" s="282" t="s">
        <v>273</v>
      </c>
      <c r="C3" s="282" t="str">
        <f>+'ÖN BİLGİ'!F6</f>
        <v>5(Beş)</v>
      </c>
      <c r="D3" s="284" t="s">
        <v>272</v>
      </c>
    </row>
    <row r="4" spans="1:4" ht="31.5" customHeight="1" x14ac:dyDescent="0.2">
      <c r="A4" s="626" t="s">
        <v>238</v>
      </c>
      <c r="B4" s="627"/>
      <c r="C4" s="627"/>
      <c r="D4" s="611"/>
    </row>
    <row r="5" spans="1:4" ht="27" customHeight="1" x14ac:dyDescent="0.2">
      <c r="A5" s="280" t="s">
        <v>239</v>
      </c>
      <c r="B5" s="606"/>
      <c r="C5" s="607"/>
      <c r="D5" s="608"/>
    </row>
    <row r="6" spans="1:4" ht="27" customHeight="1" x14ac:dyDescent="0.2">
      <c r="A6" s="280" t="s">
        <v>240</v>
      </c>
      <c r="B6" s="606"/>
      <c r="C6" s="607"/>
      <c r="D6" s="608"/>
    </row>
    <row r="7" spans="1:4" ht="27" customHeight="1" x14ac:dyDescent="0.2">
      <c r="A7" s="280" t="s">
        <v>241</v>
      </c>
      <c r="B7" s="606"/>
      <c r="C7" s="607"/>
      <c r="D7" s="608"/>
    </row>
    <row r="8" spans="1:4" ht="27" customHeight="1" x14ac:dyDescent="0.2">
      <c r="A8" s="280" t="s">
        <v>242</v>
      </c>
      <c r="B8" s="606"/>
      <c r="C8" s="607"/>
      <c r="D8" s="608"/>
    </row>
    <row r="9" spans="1:4" ht="27" customHeight="1" x14ac:dyDescent="0.2">
      <c r="A9" s="280" t="s">
        <v>243</v>
      </c>
      <c r="B9" s="606"/>
      <c r="C9" s="607"/>
      <c r="D9" s="608"/>
    </row>
    <row r="10" spans="1:4" ht="27" customHeight="1" x14ac:dyDescent="0.2">
      <c r="A10" s="280" t="s">
        <v>244</v>
      </c>
      <c r="B10" s="606"/>
      <c r="C10" s="607"/>
      <c r="D10" s="608"/>
    </row>
    <row r="11" spans="1:4" ht="27" customHeight="1" x14ac:dyDescent="0.2">
      <c r="A11" s="280" t="s">
        <v>245</v>
      </c>
      <c r="B11" s="606"/>
      <c r="C11" s="607"/>
      <c r="D11" s="608"/>
    </row>
    <row r="12" spans="1:4" ht="27" customHeight="1" x14ac:dyDescent="0.2">
      <c r="A12" s="280" t="s">
        <v>246</v>
      </c>
      <c r="B12" s="606"/>
      <c r="C12" s="607"/>
      <c r="D12" s="608"/>
    </row>
    <row r="13" spans="1:4" ht="27" customHeight="1" x14ac:dyDescent="0.2">
      <c r="A13" s="280" t="s">
        <v>247</v>
      </c>
      <c r="B13" s="606"/>
      <c r="C13" s="607"/>
      <c r="D13" s="608"/>
    </row>
    <row r="14" spans="1:4" ht="27" customHeight="1" x14ac:dyDescent="0.2">
      <c r="A14" s="280" t="s">
        <v>248</v>
      </c>
      <c r="B14" s="606"/>
      <c r="C14" s="607"/>
      <c r="D14" s="608"/>
    </row>
    <row r="15" spans="1:4" ht="27" customHeight="1" x14ac:dyDescent="0.2">
      <c r="A15" s="280" t="s">
        <v>249</v>
      </c>
      <c r="B15" s="606"/>
      <c r="C15" s="607"/>
      <c r="D15" s="608"/>
    </row>
    <row r="16" spans="1:4" ht="27" customHeight="1" x14ac:dyDescent="0.2">
      <c r="A16" s="280" t="s">
        <v>250</v>
      </c>
      <c r="B16" s="606"/>
      <c r="C16" s="607"/>
      <c r="D16" s="608"/>
    </row>
    <row r="17" spans="1:4" ht="27" customHeight="1" x14ac:dyDescent="0.2">
      <c r="A17" s="280" t="s">
        <v>251</v>
      </c>
      <c r="B17" s="606"/>
      <c r="C17" s="607"/>
      <c r="D17" s="608"/>
    </row>
    <row r="18" spans="1:4" ht="27" customHeight="1" x14ac:dyDescent="0.2">
      <c r="A18" s="280" t="s">
        <v>252</v>
      </c>
      <c r="B18" s="606"/>
      <c r="C18" s="607"/>
      <c r="D18" s="608"/>
    </row>
    <row r="19" spans="1:4" ht="27" customHeight="1" x14ac:dyDescent="0.2">
      <c r="A19" s="280" t="s">
        <v>253</v>
      </c>
      <c r="B19" s="606"/>
      <c r="C19" s="607"/>
      <c r="D19" s="608"/>
    </row>
    <row r="20" spans="1:4" ht="27" customHeight="1" x14ac:dyDescent="0.2">
      <c r="A20" s="280" t="s">
        <v>254</v>
      </c>
      <c r="B20" s="606"/>
      <c r="C20" s="607"/>
      <c r="D20" s="608"/>
    </row>
    <row r="21" spans="1:4" ht="27" customHeight="1" x14ac:dyDescent="0.2">
      <c r="A21" s="280" t="s">
        <v>255</v>
      </c>
      <c r="B21" s="606"/>
      <c r="C21" s="607"/>
      <c r="D21" s="608"/>
    </row>
    <row r="22" spans="1:4" ht="27" customHeight="1" x14ac:dyDescent="0.2">
      <c r="A22" s="280" t="s">
        <v>256</v>
      </c>
      <c r="B22" s="606"/>
      <c r="C22" s="607"/>
      <c r="D22" s="608"/>
    </row>
    <row r="23" spans="1:4" ht="27" customHeight="1" x14ac:dyDescent="0.2">
      <c r="A23" s="280" t="s">
        <v>257</v>
      </c>
      <c r="B23" s="606"/>
      <c r="C23" s="607"/>
      <c r="D23" s="608"/>
    </row>
    <row r="24" spans="1:4" ht="21" customHeight="1" x14ac:dyDescent="0.2">
      <c r="A24" s="281" t="s">
        <v>258</v>
      </c>
      <c r="B24" s="609" t="s">
        <v>259</v>
      </c>
      <c r="C24" s="610"/>
      <c r="D24" s="611"/>
    </row>
    <row r="25" spans="1:4" x14ac:dyDescent="0.2">
      <c r="A25" s="628"/>
      <c r="B25" s="612"/>
      <c r="C25" s="613"/>
      <c r="D25" s="614"/>
    </row>
    <row r="26" spans="1:4" x14ac:dyDescent="0.2">
      <c r="A26" s="628"/>
      <c r="B26" s="615"/>
      <c r="C26" s="616"/>
      <c r="D26" s="617"/>
    </row>
    <row r="27" spans="1:4" x14ac:dyDescent="0.2">
      <c r="A27" s="628"/>
      <c r="B27" s="615"/>
      <c r="C27" s="616"/>
      <c r="D27" s="617"/>
    </row>
    <row r="28" spans="1:4" x14ac:dyDescent="0.2">
      <c r="A28" s="628"/>
      <c r="B28" s="615"/>
      <c r="C28" s="616"/>
      <c r="D28" s="617"/>
    </row>
    <row r="29" spans="1:4" x14ac:dyDescent="0.2">
      <c r="A29" s="628"/>
      <c r="B29" s="615"/>
      <c r="C29" s="616"/>
      <c r="D29" s="617"/>
    </row>
    <row r="30" spans="1:4" x14ac:dyDescent="0.2">
      <c r="A30" s="628"/>
      <c r="B30" s="615"/>
      <c r="C30" s="616"/>
      <c r="D30" s="617"/>
    </row>
    <row r="31" spans="1:4" x14ac:dyDescent="0.2">
      <c r="A31" s="628"/>
      <c r="B31" s="615"/>
      <c r="C31" s="616"/>
      <c r="D31" s="617"/>
    </row>
    <row r="32" spans="1:4" x14ac:dyDescent="0.2">
      <c r="A32" s="628"/>
      <c r="B32" s="615"/>
      <c r="C32" s="616"/>
      <c r="D32" s="617"/>
    </row>
    <row r="33" spans="1:4" ht="16.5" thickBot="1" x14ac:dyDescent="0.25">
      <c r="A33" s="629"/>
      <c r="B33" s="618"/>
      <c r="C33" s="619"/>
      <c r="D33" s="620"/>
    </row>
  </sheetData>
  <mergeCells count="25">
    <mergeCell ref="A1:D1"/>
    <mergeCell ref="A2:D2"/>
    <mergeCell ref="A4:D4"/>
    <mergeCell ref="A25:A33"/>
    <mergeCell ref="B5:D5"/>
    <mergeCell ref="B6:D6"/>
    <mergeCell ref="B7:D7"/>
    <mergeCell ref="B8:D8"/>
    <mergeCell ref="B20:D20"/>
    <mergeCell ref="B9:D9"/>
    <mergeCell ref="B10:D10"/>
    <mergeCell ref="B11:D11"/>
    <mergeCell ref="B12:D12"/>
    <mergeCell ref="B13:D13"/>
    <mergeCell ref="B14:D14"/>
    <mergeCell ref="B15:D15"/>
    <mergeCell ref="B22:D22"/>
    <mergeCell ref="B23:D23"/>
    <mergeCell ref="B24:D24"/>
    <mergeCell ref="B25:D33"/>
    <mergeCell ref="B16:D16"/>
    <mergeCell ref="B17:D17"/>
    <mergeCell ref="B18:D18"/>
    <mergeCell ref="B19:D19"/>
    <mergeCell ref="B21:D21"/>
  </mergeCells>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3"/>
  <sheetViews>
    <sheetView view="pageBreakPreview" zoomScaleSheetLayoutView="100" workbookViewId="0">
      <selection activeCell="B13" sqref="B13:E13"/>
    </sheetView>
  </sheetViews>
  <sheetFormatPr defaultRowHeight="15" x14ac:dyDescent="0.2"/>
  <cols>
    <col min="1" max="1" width="52.85546875" style="545" customWidth="1"/>
    <col min="2" max="2" width="14.7109375" style="545" customWidth="1"/>
    <col min="3" max="3" width="9.85546875" style="545" customWidth="1"/>
    <col min="4" max="4" width="9.140625" style="545"/>
    <col min="5" max="5" width="10.85546875" style="545" customWidth="1"/>
    <col min="6" max="16384" width="9.140625" style="545"/>
  </cols>
  <sheetData>
    <row r="1" spans="1:5" ht="21" customHeight="1" x14ac:dyDescent="0.2">
      <c r="A1" s="632" t="s">
        <v>260</v>
      </c>
      <c r="B1" s="632"/>
      <c r="C1" s="632"/>
      <c r="D1" s="632"/>
      <c r="E1" s="632"/>
    </row>
    <row r="2" spans="1:5" ht="21" customHeight="1" x14ac:dyDescent="0.2">
      <c r="A2" s="631" t="str">
        <f>+'ÖN BİLGİ'!F9</f>
        <v xml:space="preserve">Araklı Çankaya Yibo Lojman İnşaatı İşi </v>
      </c>
      <c r="B2" s="631"/>
      <c r="C2" s="631"/>
      <c r="D2" s="631"/>
      <c r="E2" s="631"/>
    </row>
    <row r="3" spans="1:5" ht="21" customHeight="1" x14ac:dyDescent="0.2">
      <c r="A3" s="546">
        <f>+'ÖN BİLGİ'!F5</f>
        <v>41248</v>
      </c>
      <c r="B3" s="547" t="s">
        <v>273</v>
      </c>
      <c r="C3" s="547" t="str">
        <f>+'ÖN BİLGİ'!F6</f>
        <v>5(Beş)</v>
      </c>
      <c r="D3" s="548" t="s">
        <v>272</v>
      </c>
      <c r="E3" s="549"/>
    </row>
    <row r="4" spans="1:5" ht="31.5" customHeight="1" x14ac:dyDescent="0.2">
      <c r="A4" s="633" t="s">
        <v>238</v>
      </c>
      <c r="B4" s="634"/>
      <c r="C4" s="634"/>
      <c r="D4" s="634"/>
      <c r="E4" s="635"/>
    </row>
    <row r="5" spans="1:5" ht="27" customHeight="1" x14ac:dyDescent="0.2">
      <c r="A5" s="550" t="s">
        <v>239</v>
      </c>
      <c r="B5" s="630"/>
      <c r="C5" s="630"/>
      <c r="D5" s="630"/>
      <c r="E5" s="630"/>
    </row>
    <row r="6" spans="1:5" ht="27" customHeight="1" x14ac:dyDescent="0.2">
      <c r="A6" s="550" t="s">
        <v>240</v>
      </c>
      <c r="B6" s="630"/>
      <c r="C6" s="630"/>
      <c r="D6" s="630"/>
      <c r="E6" s="630"/>
    </row>
    <row r="7" spans="1:5" ht="27" customHeight="1" x14ac:dyDescent="0.2">
      <c r="A7" s="550" t="s">
        <v>241</v>
      </c>
      <c r="B7" s="630"/>
      <c r="C7" s="630"/>
      <c r="D7" s="630"/>
      <c r="E7" s="630"/>
    </row>
    <row r="8" spans="1:5" ht="27" customHeight="1" x14ac:dyDescent="0.2">
      <c r="A8" s="550" t="s">
        <v>242</v>
      </c>
      <c r="B8" s="630"/>
      <c r="C8" s="630"/>
      <c r="D8" s="630"/>
      <c r="E8" s="630"/>
    </row>
    <row r="9" spans="1:5" ht="27" customHeight="1" x14ac:dyDescent="0.2">
      <c r="A9" s="550" t="s">
        <v>243</v>
      </c>
      <c r="B9" s="630"/>
      <c r="C9" s="630"/>
      <c r="D9" s="630"/>
      <c r="E9" s="630"/>
    </row>
    <row r="10" spans="1:5" ht="27" customHeight="1" x14ac:dyDescent="0.2">
      <c r="A10" s="550" t="s">
        <v>261</v>
      </c>
      <c r="B10" s="630"/>
      <c r="C10" s="630"/>
      <c r="D10" s="630"/>
      <c r="E10" s="630"/>
    </row>
    <row r="11" spans="1:5" ht="27" customHeight="1" x14ac:dyDescent="0.2">
      <c r="A11" s="550" t="s">
        <v>262</v>
      </c>
      <c r="B11" s="630"/>
      <c r="C11" s="630"/>
      <c r="D11" s="630"/>
      <c r="E11" s="630"/>
    </row>
    <row r="12" spans="1:5" ht="27" customHeight="1" x14ac:dyDescent="0.2">
      <c r="A12" s="550" t="s">
        <v>263</v>
      </c>
      <c r="B12" s="630"/>
      <c r="C12" s="630"/>
      <c r="D12" s="630"/>
      <c r="E12" s="630"/>
    </row>
    <row r="13" spans="1:5" ht="27" customHeight="1" x14ac:dyDescent="0.2">
      <c r="A13" s="550" t="s">
        <v>264</v>
      </c>
      <c r="B13" s="630"/>
      <c r="C13" s="630"/>
      <c r="D13" s="630"/>
      <c r="E13" s="630"/>
    </row>
    <row r="14" spans="1:5" ht="27" customHeight="1" x14ac:dyDescent="0.2">
      <c r="A14" s="550" t="s">
        <v>247</v>
      </c>
      <c r="B14" s="630"/>
      <c r="C14" s="630"/>
      <c r="D14" s="630"/>
      <c r="E14" s="630"/>
    </row>
    <row r="15" spans="1:5" ht="27" customHeight="1" x14ac:dyDescent="0.2">
      <c r="A15" s="550" t="s">
        <v>249</v>
      </c>
      <c r="B15" s="630"/>
      <c r="C15" s="630"/>
      <c r="D15" s="630"/>
      <c r="E15" s="630"/>
    </row>
    <row r="16" spans="1:5" ht="27" customHeight="1" x14ac:dyDescent="0.2">
      <c r="A16" s="550" t="s">
        <v>251</v>
      </c>
      <c r="B16" s="630"/>
      <c r="C16" s="630"/>
      <c r="D16" s="630"/>
      <c r="E16" s="630"/>
    </row>
    <row r="17" spans="1:5" ht="27" customHeight="1" x14ac:dyDescent="0.2">
      <c r="A17" s="550" t="s">
        <v>252</v>
      </c>
      <c r="B17" s="630"/>
      <c r="C17" s="630"/>
      <c r="D17" s="630"/>
      <c r="E17" s="630"/>
    </row>
    <row r="18" spans="1:5" ht="27" customHeight="1" x14ac:dyDescent="0.2">
      <c r="A18" s="550" t="s">
        <v>253</v>
      </c>
      <c r="B18" s="630"/>
      <c r="C18" s="630"/>
      <c r="D18" s="630"/>
      <c r="E18" s="630"/>
    </row>
    <row r="19" spans="1:5" ht="27" customHeight="1" x14ac:dyDescent="0.2">
      <c r="A19" s="550" t="s">
        <v>257</v>
      </c>
      <c r="B19" s="630"/>
      <c r="C19" s="630"/>
      <c r="D19" s="630"/>
      <c r="E19" s="630"/>
    </row>
    <row r="20" spans="1:5" ht="27" customHeight="1" x14ac:dyDescent="0.2">
      <c r="A20" s="550" t="s">
        <v>265</v>
      </c>
      <c r="B20" s="630"/>
      <c r="C20" s="630"/>
      <c r="D20" s="630"/>
      <c r="E20" s="630"/>
    </row>
    <row r="21" spans="1:5" ht="27" customHeight="1" x14ac:dyDescent="0.2">
      <c r="A21" s="550" t="s">
        <v>254</v>
      </c>
      <c r="B21" s="630"/>
      <c r="C21" s="630"/>
      <c r="D21" s="630"/>
      <c r="E21" s="630"/>
    </row>
    <row r="22" spans="1:5" ht="27" customHeight="1" x14ac:dyDescent="0.2">
      <c r="A22" s="550" t="s">
        <v>255</v>
      </c>
      <c r="B22" s="630"/>
      <c r="C22" s="630"/>
      <c r="D22" s="630"/>
      <c r="E22" s="630"/>
    </row>
    <row r="23" spans="1:5" ht="27" customHeight="1" x14ac:dyDescent="0.2">
      <c r="A23" s="550" t="s">
        <v>256</v>
      </c>
      <c r="B23" s="630"/>
      <c r="C23" s="630"/>
      <c r="D23" s="630"/>
      <c r="E23" s="630"/>
    </row>
    <row r="24" spans="1:5" ht="21" customHeight="1" x14ac:dyDescent="0.2">
      <c r="A24" s="551" t="s">
        <v>258</v>
      </c>
      <c r="B24" s="631" t="s">
        <v>282</v>
      </c>
      <c r="C24" s="631"/>
      <c r="D24" s="631"/>
      <c r="E24" s="631"/>
    </row>
    <row r="25" spans="1:5" x14ac:dyDescent="0.2">
      <c r="A25" s="630"/>
      <c r="B25" s="630"/>
      <c r="C25" s="630"/>
      <c r="D25" s="630"/>
      <c r="E25" s="630"/>
    </row>
    <row r="26" spans="1:5" x14ac:dyDescent="0.2">
      <c r="A26" s="630"/>
      <c r="B26" s="630"/>
      <c r="C26" s="630"/>
      <c r="D26" s="630"/>
      <c r="E26" s="630"/>
    </row>
    <row r="27" spans="1:5" x14ac:dyDescent="0.2">
      <c r="A27" s="630"/>
      <c r="B27" s="630"/>
      <c r="C27" s="630"/>
      <c r="D27" s="630"/>
      <c r="E27" s="630"/>
    </row>
    <row r="28" spans="1:5" x14ac:dyDescent="0.2">
      <c r="A28" s="630"/>
      <c r="B28" s="630"/>
      <c r="C28" s="630"/>
      <c r="D28" s="630"/>
      <c r="E28" s="630"/>
    </row>
    <row r="29" spans="1:5" x14ac:dyDescent="0.2">
      <c r="A29" s="630"/>
      <c r="B29" s="630"/>
      <c r="C29" s="630"/>
      <c r="D29" s="630"/>
      <c r="E29" s="630"/>
    </row>
    <row r="30" spans="1:5" x14ac:dyDescent="0.2">
      <c r="A30" s="630"/>
      <c r="B30" s="630"/>
      <c r="C30" s="630"/>
      <c r="D30" s="630"/>
      <c r="E30" s="630"/>
    </row>
    <row r="31" spans="1:5" x14ac:dyDescent="0.2">
      <c r="A31" s="630"/>
      <c r="B31" s="630"/>
      <c r="C31" s="630"/>
      <c r="D31" s="630"/>
      <c r="E31" s="630"/>
    </row>
    <row r="32" spans="1:5" x14ac:dyDescent="0.2">
      <c r="A32" s="630"/>
      <c r="B32" s="630"/>
      <c r="C32" s="630"/>
      <c r="D32" s="630"/>
      <c r="E32" s="630"/>
    </row>
    <row r="33" spans="1:5" x14ac:dyDescent="0.2">
      <c r="A33" s="630"/>
      <c r="B33" s="630"/>
      <c r="C33" s="630"/>
      <c r="D33" s="630"/>
      <c r="E33" s="630"/>
    </row>
  </sheetData>
  <mergeCells count="25">
    <mergeCell ref="B25:E33"/>
    <mergeCell ref="B24:E24"/>
    <mergeCell ref="A1:E1"/>
    <mergeCell ref="B14:E14"/>
    <mergeCell ref="B15:E15"/>
    <mergeCell ref="B16:E16"/>
    <mergeCell ref="A25:A33"/>
    <mergeCell ref="B5:E5"/>
    <mergeCell ref="A4:E4"/>
    <mergeCell ref="B6:E6"/>
    <mergeCell ref="B7:E7"/>
    <mergeCell ref="B17:E17"/>
    <mergeCell ref="B18:E18"/>
    <mergeCell ref="B19:E19"/>
    <mergeCell ref="B8:E8"/>
    <mergeCell ref="B9:E9"/>
    <mergeCell ref="B23:E23"/>
    <mergeCell ref="A2:E2"/>
    <mergeCell ref="B12:E12"/>
    <mergeCell ref="B13:E13"/>
    <mergeCell ref="B10:E10"/>
    <mergeCell ref="B11:E11"/>
    <mergeCell ref="B20:E20"/>
    <mergeCell ref="B21:E21"/>
    <mergeCell ref="B22:E22"/>
  </mergeCell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85" zoomScaleSheetLayoutView="85" workbookViewId="0">
      <selection activeCell="B20" sqref="B20:E20"/>
    </sheetView>
  </sheetViews>
  <sheetFormatPr defaultRowHeight="15.75" x14ac:dyDescent="0.2"/>
  <cols>
    <col min="1" max="1" width="52.5703125" style="279" customWidth="1"/>
    <col min="2" max="2" width="14.42578125" style="279" customWidth="1"/>
    <col min="3" max="3" width="10" style="279" customWidth="1"/>
    <col min="4" max="4" width="10.7109375" style="279" customWidth="1"/>
    <col min="5" max="16384" width="9.140625" style="279"/>
  </cols>
  <sheetData>
    <row r="1" spans="1:5" ht="21" customHeight="1" x14ac:dyDescent="0.2">
      <c r="A1" s="638" t="s">
        <v>266</v>
      </c>
      <c r="B1" s="638"/>
      <c r="C1" s="638"/>
      <c r="D1" s="638"/>
      <c r="E1" s="638"/>
    </row>
    <row r="2" spans="1:5" ht="21" customHeight="1" x14ac:dyDescent="0.2">
      <c r="A2" s="637" t="str">
        <f>+'ÖN BİLGİ'!F9</f>
        <v xml:space="preserve">Araklı Çankaya Yibo Lojman İnşaatı İşi </v>
      </c>
      <c r="B2" s="637"/>
      <c r="C2" s="637"/>
      <c r="D2" s="637"/>
      <c r="E2" s="637"/>
    </row>
    <row r="3" spans="1:5" ht="21" customHeight="1" x14ac:dyDescent="0.2">
      <c r="A3" s="288">
        <f>+'ÖN BİLGİ'!F5</f>
        <v>41248</v>
      </c>
      <c r="B3" s="282" t="s">
        <v>273</v>
      </c>
      <c r="C3" s="282" t="str">
        <f>+'ÖN BİLGİ'!F6</f>
        <v>5(Beş)</v>
      </c>
      <c r="D3" s="283" t="s">
        <v>272</v>
      </c>
      <c r="E3" s="289"/>
    </row>
    <row r="4" spans="1:5" ht="31.5" customHeight="1" x14ac:dyDescent="0.2">
      <c r="A4" s="638" t="s">
        <v>238</v>
      </c>
      <c r="B4" s="638"/>
      <c r="C4" s="638"/>
      <c r="D4" s="638"/>
      <c r="E4" s="638"/>
    </row>
    <row r="5" spans="1:5" ht="24.95" customHeight="1" x14ac:dyDescent="0.2">
      <c r="A5" s="287" t="s">
        <v>240</v>
      </c>
      <c r="B5" s="636"/>
      <c r="C5" s="636"/>
      <c r="D5" s="636"/>
      <c r="E5" s="636"/>
    </row>
    <row r="6" spans="1:5" ht="24.95" customHeight="1" x14ac:dyDescent="0.2">
      <c r="A6" s="287" t="s">
        <v>241</v>
      </c>
      <c r="B6" s="636"/>
      <c r="C6" s="636"/>
      <c r="D6" s="636"/>
      <c r="E6" s="636"/>
    </row>
    <row r="7" spans="1:5" ht="24.95" customHeight="1" x14ac:dyDescent="0.2">
      <c r="A7" s="287" t="s">
        <v>267</v>
      </c>
      <c r="B7" s="636"/>
      <c r="C7" s="636"/>
      <c r="D7" s="636"/>
      <c r="E7" s="636"/>
    </row>
    <row r="8" spans="1:5" ht="24.95" customHeight="1" x14ac:dyDescent="0.2">
      <c r="A8" s="287" t="s">
        <v>268</v>
      </c>
      <c r="B8" s="636"/>
      <c r="C8" s="636"/>
      <c r="D8" s="636"/>
      <c r="E8" s="636"/>
    </row>
    <row r="9" spans="1:5" ht="24.95" customHeight="1" x14ac:dyDescent="0.2">
      <c r="A9" s="287" t="s">
        <v>243</v>
      </c>
      <c r="B9" s="636"/>
      <c r="C9" s="636"/>
      <c r="D9" s="636"/>
      <c r="E9" s="636"/>
    </row>
    <row r="10" spans="1:5" ht="24.95" customHeight="1" x14ac:dyDescent="0.2">
      <c r="A10" s="287" t="s">
        <v>261</v>
      </c>
      <c r="B10" s="636"/>
      <c r="C10" s="636"/>
      <c r="D10" s="636"/>
      <c r="E10" s="636"/>
    </row>
    <row r="11" spans="1:5" ht="24.95" customHeight="1" x14ac:dyDescent="0.2">
      <c r="A11" s="287" t="s">
        <v>262</v>
      </c>
      <c r="B11" s="636"/>
      <c r="C11" s="636"/>
      <c r="D11" s="636"/>
      <c r="E11" s="636"/>
    </row>
    <row r="12" spans="1:5" ht="24.95" customHeight="1" x14ac:dyDescent="0.2">
      <c r="A12" s="287" t="s">
        <v>263</v>
      </c>
      <c r="B12" s="636"/>
      <c r="C12" s="636"/>
      <c r="D12" s="636"/>
      <c r="E12" s="636"/>
    </row>
    <row r="13" spans="1:5" ht="24.95" customHeight="1" x14ac:dyDescent="0.2">
      <c r="A13" s="287" t="s">
        <v>264</v>
      </c>
      <c r="B13" s="636"/>
      <c r="C13" s="636"/>
      <c r="D13" s="636"/>
      <c r="E13" s="636"/>
    </row>
    <row r="14" spans="1:5" ht="24.95" customHeight="1" x14ac:dyDescent="0.2">
      <c r="A14" s="287" t="s">
        <v>244</v>
      </c>
      <c r="B14" s="636"/>
      <c r="C14" s="636"/>
      <c r="D14" s="636"/>
      <c r="E14" s="636"/>
    </row>
    <row r="15" spans="1:5" ht="24.95" customHeight="1" x14ac:dyDescent="0.2">
      <c r="A15" s="287" t="s">
        <v>245</v>
      </c>
      <c r="B15" s="636"/>
      <c r="C15" s="636"/>
      <c r="D15" s="636"/>
      <c r="E15" s="636"/>
    </row>
    <row r="16" spans="1:5" ht="24.95" customHeight="1" x14ac:dyDescent="0.2">
      <c r="A16" s="287" t="s">
        <v>246</v>
      </c>
      <c r="B16" s="636"/>
      <c r="C16" s="636"/>
      <c r="D16" s="636"/>
      <c r="E16" s="636"/>
    </row>
    <row r="17" spans="1:5" ht="24.95" customHeight="1" x14ac:dyDescent="0.2">
      <c r="A17" s="287" t="s">
        <v>247</v>
      </c>
      <c r="B17" s="636"/>
      <c r="C17" s="636"/>
      <c r="D17" s="636"/>
      <c r="E17" s="636"/>
    </row>
    <row r="18" spans="1:5" ht="24.95" customHeight="1" x14ac:dyDescent="0.2">
      <c r="A18" s="287" t="s">
        <v>248</v>
      </c>
      <c r="B18" s="636"/>
      <c r="C18" s="636"/>
      <c r="D18" s="636"/>
      <c r="E18" s="636"/>
    </row>
    <row r="19" spans="1:5" ht="24.95" customHeight="1" x14ac:dyDescent="0.2">
      <c r="A19" s="287" t="s">
        <v>249</v>
      </c>
      <c r="B19" s="636"/>
      <c r="C19" s="636"/>
      <c r="D19" s="636"/>
      <c r="E19" s="636"/>
    </row>
    <row r="20" spans="1:5" ht="24.95" customHeight="1" x14ac:dyDescent="0.2">
      <c r="A20" s="287" t="s">
        <v>269</v>
      </c>
      <c r="B20" s="636"/>
      <c r="C20" s="636"/>
      <c r="D20" s="636"/>
      <c r="E20" s="636"/>
    </row>
    <row r="21" spans="1:5" ht="24.95" customHeight="1" x14ac:dyDescent="0.2">
      <c r="A21" s="287" t="s">
        <v>250</v>
      </c>
      <c r="B21" s="636"/>
      <c r="C21" s="636"/>
      <c r="D21" s="636"/>
      <c r="E21" s="636"/>
    </row>
    <row r="22" spans="1:5" ht="24.95" customHeight="1" x14ac:dyDescent="0.2">
      <c r="A22" s="287" t="s">
        <v>251</v>
      </c>
      <c r="B22" s="636"/>
      <c r="C22" s="636"/>
      <c r="D22" s="636"/>
      <c r="E22" s="636"/>
    </row>
    <row r="23" spans="1:5" ht="24.95" customHeight="1" x14ac:dyDescent="0.2">
      <c r="A23" s="287" t="s">
        <v>252</v>
      </c>
      <c r="B23" s="636"/>
      <c r="C23" s="636"/>
      <c r="D23" s="636"/>
      <c r="E23" s="636"/>
    </row>
    <row r="24" spans="1:5" ht="24.95" customHeight="1" x14ac:dyDescent="0.2">
      <c r="A24" s="287" t="s">
        <v>253</v>
      </c>
      <c r="B24" s="636"/>
      <c r="C24" s="636"/>
      <c r="D24" s="636"/>
      <c r="E24" s="636"/>
    </row>
    <row r="25" spans="1:5" ht="24.95" customHeight="1" x14ac:dyDescent="0.2">
      <c r="A25" s="287" t="s">
        <v>257</v>
      </c>
      <c r="B25" s="636"/>
      <c r="C25" s="636"/>
      <c r="D25" s="636"/>
      <c r="E25" s="636"/>
    </row>
    <row r="26" spans="1:5" ht="24.95" customHeight="1" x14ac:dyDescent="0.2">
      <c r="A26" s="287" t="s">
        <v>254</v>
      </c>
      <c r="B26" s="636"/>
      <c r="C26" s="636"/>
      <c r="D26" s="636"/>
      <c r="E26" s="636"/>
    </row>
    <row r="27" spans="1:5" ht="24.95" customHeight="1" x14ac:dyDescent="0.2">
      <c r="A27" s="287" t="s">
        <v>270</v>
      </c>
      <c r="B27" s="636"/>
      <c r="C27" s="636"/>
      <c r="D27" s="636"/>
      <c r="E27" s="636"/>
    </row>
    <row r="28" spans="1:5" ht="24.95" customHeight="1" x14ac:dyDescent="0.2">
      <c r="A28" s="287" t="s">
        <v>256</v>
      </c>
      <c r="B28" s="636"/>
      <c r="C28" s="636"/>
      <c r="D28" s="636"/>
      <c r="E28" s="636"/>
    </row>
    <row r="29" spans="1:5" ht="24.95" customHeight="1" x14ac:dyDescent="0.2">
      <c r="A29" s="287" t="s">
        <v>271</v>
      </c>
      <c r="B29" s="636"/>
      <c r="C29" s="636"/>
      <c r="D29" s="636"/>
      <c r="E29" s="636"/>
    </row>
    <row r="30" spans="1:5" ht="21" customHeight="1" x14ac:dyDescent="0.2">
      <c r="A30" s="286" t="s">
        <v>258</v>
      </c>
      <c r="B30" s="637" t="s">
        <v>259</v>
      </c>
      <c r="C30" s="637"/>
      <c r="D30" s="637"/>
      <c r="E30" s="637"/>
    </row>
    <row r="31" spans="1:5" x14ac:dyDescent="0.2">
      <c r="A31" s="636"/>
      <c r="B31" s="636"/>
      <c r="C31" s="636"/>
      <c r="D31" s="636"/>
      <c r="E31" s="636"/>
    </row>
    <row r="32" spans="1:5" x14ac:dyDescent="0.2">
      <c r="A32" s="636"/>
      <c r="B32" s="636"/>
      <c r="C32" s="636"/>
      <c r="D32" s="636"/>
      <c r="E32" s="636"/>
    </row>
    <row r="33" spans="1:5" x14ac:dyDescent="0.2">
      <c r="A33" s="636"/>
      <c r="B33" s="636"/>
      <c r="C33" s="636"/>
      <c r="D33" s="636"/>
      <c r="E33" s="636"/>
    </row>
    <row r="34" spans="1:5" x14ac:dyDescent="0.2">
      <c r="A34" s="636"/>
      <c r="B34" s="636"/>
      <c r="C34" s="636"/>
      <c r="D34" s="636"/>
      <c r="E34" s="636"/>
    </row>
    <row r="35" spans="1:5" x14ac:dyDescent="0.2">
      <c r="A35" s="636"/>
      <c r="B35" s="636"/>
      <c r="C35" s="636"/>
      <c r="D35" s="636"/>
      <c r="E35" s="636"/>
    </row>
    <row r="36" spans="1:5" x14ac:dyDescent="0.2">
      <c r="A36" s="636"/>
      <c r="B36" s="636"/>
      <c r="C36" s="636"/>
      <c r="D36" s="636"/>
      <c r="E36" s="636"/>
    </row>
    <row r="37" spans="1:5" x14ac:dyDescent="0.2">
      <c r="A37" s="636"/>
      <c r="B37" s="636"/>
      <c r="C37" s="636"/>
      <c r="D37" s="636"/>
      <c r="E37" s="636"/>
    </row>
    <row r="38" spans="1:5" x14ac:dyDescent="0.2">
      <c r="A38" s="636"/>
      <c r="B38" s="636"/>
      <c r="C38" s="636"/>
      <c r="D38" s="636"/>
      <c r="E38" s="636"/>
    </row>
    <row r="39" spans="1:5" x14ac:dyDescent="0.2">
      <c r="A39" s="636"/>
      <c r="B39" s="636"/>
      <c r="C39" s="636"/>
      <c r="D39" s="636"/>
      <c r="E39" s="636"/>
    </row>
  </sheetData>
  <mergeCells count="31">
    <mergeCell ref="B11:E11"/>
    <mergeCell ref="A31:A39"/>
    <mergeCell ref="A1:E1"/>
    <mergeCell ref="A2:E2"/>
    <mergeCell ref="A4:E4"/>
    <mergeCell ref="B5:E5"/>
    <mergeCell ref="B6:E6"/>
    <mergeCell ref="B7:E7"/>
    <mergeCell ref="B8:E8"/>
    <mergeCell ref="B9:E9"/>
    <mergeCell ref="B10:E10"/>
    <mergeCell ref="B23:E23"/>
    <mergeCell ref="B12:E12"/>
    <mergeCell ref="B13:E13"/>
    <mergeCell ref="B14:E14"/>
    <mergeCell ref="B15:E15"/>
    <mergeCell ref="B16:E16"/>
    <mergeCell ref="B17:E17"/>
    <mergeCell ref="B18:E18"/>
    <mergeCell ref="B19:E19"/>
    <mergeCell ref="B20:E20"/>
    <mergeCell ref="B21:E21"/>
    <mergeCell ref="B22:E22"/>
    <mergeCell ref="B30:E30"/>
    <mergeCell ref="B31:E39"/>
    <mergeCell ref="B24:E24"/>
    <mergeCell ref="B25:E25"/>
    <mergeCell ref="B26:E26"/>
    <mergeCell ref="B27:E27"/>
    <mergeCell ref="B28:E28"/>
    <mergeCell ref="B29:E29"/>
  </mergeCell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0"/>
  <sheetViews>
    <sheetView showGridLines="0" view="pageBreakPreview" zoomScale="85" zoomScaleSheetLayoutView="85" workbookViewId="0">
      <selection activeCell="F30" sqref="F30"/>
    </sheetView>
  </sheetViews>
  <sheetFormatPr defaultRowHeight="12.75" x14ac:dyDescent="0.2"/>
  <cols>
    <col min="1" max="1" width="12.140625" customWidth="1"/>
    <col min="2" max="2" width="14.7109375" customWidth="1"/>
    <col min="3" max="3" width="10.28515625" customWidth="1"/>
    <col min="4" max="4" width="11.5703125" customWidth="1"/>
    <col min="5" max="5" width="2.28515625" customWidth="1"/>
    <col min="6" max="6" width="35.28515625" customWidth="1"/>
    <col min="7" max="7" width="4.5703125" customWidth="1"/>
    <col min="8" max="8" width="5" style="1" customWidth="1"/>
    <col min="9" max="9" width="18.7109375" style="1" customWidth="1"/>
    <col min="10" max="10" width="2.85546875" customWidth="1"/>
  </cols>
  <sheetData>
    <row r="1" spans="1:11" ht="15.75" thickBot="1" x14ac:dyDescent="0.3">
      <c r="G1" s="589" t="s">
        <v>18</v>
      </c>
      <c r="H1" s="590"/>
    </row>
    <row r="2" spans="1:11" x14ac:dyDescent="0.2">
      <c r="A2" s="10"/>
      <c r="B2" s="11"/>
      <c r="C2" s="11"/>
      <c r="D2" s="11"/>
      <c r="E2" s="11"/>
      <c r="F2" s="11"/>
      <c r="G2" s="11"/>
      <c r="H2" s="11"/>
      <c r="I2" s="12"/>
    </row>
    <row r="3" spans="1:11" ht="20.100000000000001" customHeight="1" x14ac:dyDescent="0.25">
      <c r="A3" s="591" t="s">
        <v>19</v>
      </c>
      <c r="B3" s="592"/>
      <c r="C3" s="592"/>
      <c r="D3" s="592"/>
      <c r="E3" s="592"/>
      <c r="F3" s="592"/>
      <c r="G3" s="592"/>
      <c r="H3" s="592"/>
      <c r="I3" s="593"/>
    </row>
    <row r="4" spans="1:11" ht="33.75" customHeight="1" x14ac:dyDescent="0.2">
      <c r="A4" s="579"/>
      <c r="B4" s="580"/>
      <c r="C4" s="580"/>
      <c r="D4" s="580"/>
      <c r="E4" s="580"/>
      <c r="F4" s="580"/>
      <c r="G4" s="580"/>
      <c r="H4" s="580"/>
      <c r="I4" s="37"/>
    </row>
    <row r="5" spans="1:11" ht="14.25" x14ac:dyDescent="0.2">
      <c r="A5" s="35"/>
      <c r="B5" s="36"/>
      <c r="C5" s="38" t="s">
        <v>20</v>
      </c>
      <c r="D5" s="36"/>
      <c r="E5" s="36" t="s">
        <v>21</v>
      </c>
      <c r="F5" s="39">
        <f>'ÖN BİLGİ'!F5</f>
        <v>41248</v>
      </c>
      <c r="G5" s="36"/>
      <c r="H5" s="36"/>
      <c r="I5" s="37"/>
    </row>
    <row r="6" spans="1:11" ht="14.25" x14ac:dyDescent="0.2">
      <c r="A6" s="35"/>
      <c r="B6" s="36"/>
      <c r="C6" s="40" t="s">
        <v>22</v>
      </c>
      <c r="D6" s="40"/>
      <c r="E6" s="36" t="s">
        <v>21</v>
      </c>
      <c r="F6" s="38" t="str">
        <f>'ÖN BİLGİ'!F6</f>
        <v>5(Beş)</v>
      </c>
      <c r="G6" s="36"/>
      <c r="H6" s="36"/>
      <c r="I6" s="37"/>
    </row>
    <row r="7" spans="1:11" ht="14.25" x14ac:dyDescent="0.2">
      <c r="A7" s="35"/>
      <c r="B7" s="36"/>
      <c r="C7" s="38" t="s">
        <v>23</v>
      </c>
      <c r="D7" s="36"/>
      <c r="E7" s="36" t="s">
        <v>21</v>
      </c>
      <c r="F7" s="38">
        <f>+'ÖN BİLGİ'!F7</f>
        <v>2012</v>
      </c>
      <c r="G7" s="36"/>
      <c r="H7" s="36"/>
      <c r="I7" s="37"/>
    </row>
    <row r="8" spans="1:11" ht="13.5" customHeight="1" thickBot="1" x14ac:dyDescent="0.25">
      <c r="A8" s="35"/>
      <c r="B8" s="36"/>
      <c r="C8" s="38"/>
      <c r="D8" s="36"/>
      <c r="E8" s="36"/>
      <c r="F8" s="86"/>
      <c r="G8" s="36"/>
      <c r="H8" s="36"/>
      <c r="I8" s="37"/>
    </row>
    <row r="9" spans="1:11" ht="18" customHeight="1" x14ac:dyDescent="0.2">
      <c r="A9" s="594" t="s">
        <v>93</v>
      </c>
      <c r="B9" s="595"/>
      <c r="C9" s="595"/>
      <c r="D9" s="595"/>
      <c r="E9" s="62" t="s">
        <v>21</v>
      </c>
      <c r="F9" s="87" t="str">
        <f>+'ÖN BİLGİ'!F9</f>
        <v xml:space="preserve">Araklı Çankaya Yibo Lojman İnşaatı İşi </v>
      </c>
      <c r="G9" s="70"/>
      <c r="H9" s="70"/>
      <c r="I9" s="71"/>
    </row>
    <row r="10" spans="1:11" ht="15" customHeight="1" x14ac:dyDescent="0.2">
      <c r="A10" s="63"/>
      <c r="B10" s="64"/>
      <c r="C10" s="64"/>
      <c r="D10" s="40"/>
      <c r="E10" s="59"/>
      <c r="F10" s="72"/>
      <c r="G10" s="72"/>
      <c r="H10" s="72"/>
      <c r="I10" s="69"/>
    </row>
    <row r="11" spans="1:11" ht="15" customHeight="1" x14ac:dyDescent="0.2">
      <c r="A11" s="63" t="s">
        <v>115</v>
      </c>
      <c r="B11" s="64"/>
      <c r="C11" s="64"/>
      <c r="D11" s="40"/>
      <c r="E11" s="59"/>
      <c r="F11" s="639"/>
      <c r="G11" s="639"/>
      <c r="H11" s="639"/>
      <c r="I11" s="640"/>
    </row>
    <row r="12" spans="1:11" ht="16.5" customHeight="1" x14ac:dyDescent="0.2">
      <c r="A12" s="596" t="s">
        <v>94</v>
      </c>
      <c r="B12" s="597"/>
      <c r="C12" s="597"/>
      <c r="D12" s="597"/>
      <c r="E12" s="42" t="s">
        <v>21</v>
      </c>
      <c r="F12" s="40"/>
      <c r="G12" s="59"/>
      <c r="H12" s="59"/>
      <c r="I12" s="43"/>
    </row>
    <row r="13" spans="1:11" ht="14.25" x14ac:dyDescent="0.2">
      <c r="A13" s="67" t="s">
        <v>95</v>
      </c>
      <c r="B13" s="68"/>
      <c r="C13" s="68"/>
      <c r="D13" s="40"/>
      <c r="E13" s="59" t="s">
        <v>21</v>
      </c>
      <c r="F13" s="95" t="str">
        <f>+'ÖN BİLGİ'!F13</f>
        <v>Özbulut Yapı Taah.İnş.Gıda San.ve Tic.Ltd.Şti.</v>
      </c>
      <c r="G13" s="59"/>
      <c r="H13" s="64"/>
      <c r="I13" s="61"/>
    </row>
    <row r="14" spans="1:11" ht="15" customHeight="1" x14ac:dyDescent="0.2">
      <c r="A14" s="587" t="s">
        <v>24</v>
      </c>
      <c r="B14" s="588"/>
      <c r="C14" s="588"/>
      <c r="D14" s="588"/>
      <c r="E14" s="59" t="s">
        <v>21</v>
      </c>
      <c r="F14" s="94">
        <v>499000</v>
      </c>
      <c r="G14" s="59"/>
      <c r="H14" s="59"/>
      <c r="I14" s="61"/>
      <c r="K14" s="13"/>
    </row>
    <row r="15" spans="1:11" ht="15" customHeight="1" x14ac:dyDescent="0.2">
      <c r="A15" s="587" t="s">
        <v>25</v>
      </c>
      <c r="B15" s="588"/>
      <c r="C15" s="588"/>
      <c r="D15" s="588"/>
      <c r="E15" s="59" t="s">
        <v>21</v>
      </c>
      <c r="F15" s="39">
        <f>+'ÖN BİLGİ'!F15</f>
        <v>41001</v>
      </c>
      <c r="G15" s="59"/>
      <c r="H15" s="59"/>
      <c r="I15" s="61"/>
    </row>
    <row r="16" spans="1:11" ht="15" customHeight="1" x14ac:dyDescent="0.2">
      <c r="A16" s="587" t="s">
        <v>26</v>
      </c>
      <c r="B16" s="588"/>
      <c r="C16" s="588"/>
      <c r="D16" s="588"/>
      <c r="E16" s="59" t="s">
        <v>21</v>
      </c>
      <c r="F16" s="39">
        <f>+'ÖN BİLGİ'!F16</f>
        <v>41053</v>
      </c>
      <c r="G16" s="59"/>
      <c r="H16" s="59"/>
      <c r="I16" s="41"/>
    </row>
    <row r="17" spans="1:9" ht="15" customHeight="1" x14ac:dyDescent="0.2">
      <c r="A17" s="587" t="s">
        <v>28</v>
      </c>
      <c r="B17" s="588"/>
      <c r="C17" s="588"/>
      <c r="D17" s="588"/>
      <c r="E17" s="59" t="s">
        <v>21</v>
      </c>
      <c r="F17" s="64" t="s">
        <v>27</v>
      </c>
      <c r="G17" s="59"/>
      <c r="H17" s="59"/>
      <c r="I17" s="41"/>
    </row>
    <row r="18" spans="1:9" ht="15" customHeight="1" x14ac:dyDescent="0.2">
      <c r="A18" s="587" t="s">
        <v>29</v>
      </c>
      <c r="B18" s="588"/>
      <c r="C18" s="588"/>
      <c r="D18" s="588"/>
      <c r="E18" s="59" t="s">
        <v>21</v>
      </c>
      <c r="F18" s="64" t="s">
        <v>30</v>
      </c>
      <c r="G18" s="59"/>
      <c r="H18" s="59"/>
      <c r="I18" s="43"/>
    </row>
    <row r="19" spans="1:9" ht="15" customHeight="1" x14ac:dyDescent="0.2">
      <c r="A19" s="587" t="s">
        <v>177</v>
      </c>
      <c r="B19" s="588"/>
      <c r="C19" s="588"/>
      <c r="D19" s="588"/>
      <c r="E19" s="59"/>
      <c r="F19" s="39">
        <f>+'ÖN BİLGİ'!F19</f>
        <v>41058</v>
      </c>
      <c r="G19" s="59"/>
      <c r="H19" s="59"/>
      <c r="I19" s="43"/>
    </row>
    <row r="20" spans="1:9" ht="15" customHeight="1" x14ac:dyDescent="0.2">
      <c r="A20" s="587" t="s">
        <v>31</v>
      </c>
      <c r="B20" s="588"/>
      <c r="C20" s="588"/>
      <c r="D20" s="588"/>
      <c r="E20" s="59" t="s">
        <v>21</v>
      </c>
      <c r="F20" s="39">
        <f>+'ÖN BİLGİ'!F20</f>
        <v>41058</v>
      </c>
      <c r="G20" s="59"/>
      <c r="H20" s="59"/>
      <c r="I20" s="43"/>
    </row>
    <row r="21" spans="1:9" ht="15" customHeight="1" x14ac:dyDescent="0.2">
      <c r="A21" s="587" t="s">
        <v>32</v>
      </c>
      <c r="B21" s="588"/>
      <c r="C21" s="588"/>
      <c r="D21" s="588"/>
      <c r="E21" s="59" t="s">
        <v>21</v>
      </c>
      <c r="F21" s="39" t="str">
        <f>+'ÖN BİLGİ'!F21</f>
        <v>210 Gün</v>
      </c>
      <c r="G21" s="64"/>
      <c r="H21" s="64"/>
      <c r="I21" s="41"/>
    </row>
    <row r="22" spans="1:9" ht="15" customHeight="1" x14ac:dyDescent="0.2">
      <c r="A22" s="587" t="s">
        <v>33</v>
      </c>
      <c r="B22" s="588"/>
      <c r="C22" s="588"/>
      <c r="D22" s="588"/>
      <c r="E22" s="59" t="s">
        <v>21</v>
      </c>
      <c r="F22" s="39">
        <f>+'ÖN BİLGİ'!F22</f>
        <v>41267</v>
      </c>
      <c r="G22" s="40"/>
      <c r="H22" s="40"/>
      <c r="I22" s="43"/>
    </row>
    <row r="23" spans="1:9" ht="15" customHeight="1" x14ac:dyDescent="0.2">
      <c r="A23" s="587" t="s">
        <v>34</v>
      </c>
      <c r="B23" s="588"/>
      <c r="C23" s="588"/>
      <c r="D23" s="588"/>
      <c r="E23" s="59" t="s">
        <v>21</v>
      </c>
      <c r="F23" s="40"/>
      <c r="G23" s="40"/>
      <c r="H23" s="40"/>
      <c r="I23" s="43"/>
    </row>
    <row r="24" spans="1:9" ht="16.5" customHeight="1" x14ac:dyDescent="0.2">
      <c r="A24" s="596" t="s">
        <v>35</v>
      </c>
      <c r="B24" s="597"/>
      <c r="C24" s="597"/>
      <c r="D24" s="597"/>
      <c r="E24" s="59" t="s">
        <v>21</v>
      </c>
      <c r="F24" s="40"/>
      <c r="G24" s="40"/>
      <c r="H24" s="40"/>
      <c r="I24" s="43"/>
    </row>
    <row r="25" spans="1:9" ht="12" customHeight="1" x14ac:dyDescent="0.2">
      <c r="A25" s="63"/>
      <c r="B25" s="64"/>
      <c r="C25" s="64"/>
      <c r="D25" s="64"/>
      <c r="E25" s="40"/>
      <c r="F25" s="40"/>
      <c r="G25" s="40"/>
      <c r="H25" s="40"/>
      <c r="I25" s="43"/>
    </row>
    <row r="26" spans="1:9" ht="12" customHeight="1" x14ac:dyDescent="0.2">
      <c r="A26" s="63"/>
      <c r="B26" s="64"/>
      <c r="C26" s="64"/>
      <c r="D26" s="64"/>
      <c r="E26" s="40"/>
      <c r="F26" s="40"/>
      <c r="G26" s="40"/>
      <c r="H26" s="40"/>
      <c r="I26" s="43"/>
    </row>
    <row r="27" spans="1:9" ht="12" customHeight="1" x14ac:dyDescent="0.2">
      <c r="A27" s="63"/>
      <c r="B27" s="64"/>
      <c r="C27" s="64"/>
      <c r="D27" s="64"/>
      <c r="E27" s="40"/>
      <c r="F27" s="40"/>
      <c r="G27" s="40"/>
      <c r="H27" s="40"/>
      <c r="I27" s="43"/>
    </row>
    <row r="28" spans="1:9" ht="12" customHeight="1" x14ac:dyDescent="0.2">
      <c r="A28" s="63"/>
      <c r="B28" s="64"/>
      <c r="C28" s="64"/>
      <c r="D28" s="64"/>
      <c r="E28" s="40"/>
      <c r="F28" s="40"/>
      <c r="G28" s="40"/>
      <c r="H28" s="40"/>
      <c r="I28" s="43"/>
    </row>
    <row r="29" spans="1:9" ht="12" customHeight="1" thickBot="1" x14ac:dyDescent="0.25">
      <c r="A29" s="63"/>
      <c r="B29" s="64"/>
      <c r="C29" s="64"/>
      <c r="D29" s="64"/>
      <c r="E29" s="40"/>
      <c r="F29" s="40"/>
      <c r="G29" s="40"/>
      <c r="H29" s="40"/>
      <c r="I29" s="43"/>
    </row>
    <row r="30" spans="1:9" ht="17.25" customHeight="1" x14ac:dyDescent="0.25">
      <c r="A30" s="74" t="s">
        <v>180</v>
      </c>
      <c r="B30" s="73"/>
      <c r="C30" s="73"/>
      <c r="D30" s="73"/>
      <c r="E30" s="47"/>
      <c r="F30" s="47"/>
      <c r="G30" s="47"/>
      <c r="H30" s="47"/>
      <c r="I30" s="48"/>
    </row>
    <row r="31" spans="1:9" ht="27.75" customHeight="1" x14ac:dyDescent="0.2">
      <c r="A31" s="582" t="s">
        <v>24</v>
      </c>
      <c r="B31" s="580"/>
      <c r="C31" s="583" t="s">
        <v>181</v>
      </c>
      <c r="D31" s="583"/>
      <c r="E31" s="644" t="s">
        <v>36</v>
      </c>
      <c r="F31" s="645"/>
      <c r="G31" s="641" t="s">
        <v>182</v>
      </c>
      <c r="H31" s="641"/>
      <c r="I31" s="642"/>
    </row>
    <row r="32" spans="1:9" ht="15" customHeight="1" x14ac:dyDescent="0.2">
      <c r="A32" s="584" t="s">
        <v>178</v>
      </c>
      <c r="B32" s="585"/>
      <c r="C32" s="585" t="s">
        <v>37</v>
      </c>
      <c r="D32" s="585"/>
      <c r="E32" s="585" t="s">
        <v>179</v>
      </c>
      <c r="F32" s="585"/>
      <c r="G32" s="585" t="s">
        <v>178</v>
      </c>
      <c r="H32" s="585"/>
      <c r="I32" s="643"/>
    </row>
    <row r="33" spans="1:9" ht="15" customHeight="1" x14ac:dyDescent="0.2">
      <c r="A33" s="584" t="s">
        <v>178</v>
      </c>
      <c r="B33" s="585"/>
      <c r="C33" s="585" t="s">
        <v>37</v>
      </c>
      <c r="D33" s="585"/>
      <c r="E33" s="585" t="s">
        <v>179</v>
      </c>
      <c r="F33" s="585"/>
      <c r="G33" s="585" t="s">
        <v>178</v>
      </c>
      <c r="H33" s="585"/>
      <c r="I33" s="643"/>
    </row>
    <row r="34" spans="1:9" ht="15" customHeight="1" x14ac:dyDescent="0.2">
      <c r="A34" s="579" t="s">
        <v>37</v>
      </c>
      <c r="B34" s="580"/>
      <c r="C34" s="580" t="s">
        <v>37</v>
      </c>
      <c r="D34" s="580"/>
      <c r="E34" s="580" t="s">
        <v>37</v>
      </c>
      <c r="F34" s="580"/>
      <c r="G34" s="580" t="s">
        <v>37</v>
      </c>
      <c r="H34" s="580"/>
      <c r="I34" s="605"/>
    </row>
    <row r="35" spans="1:9" ht="15" customHeight="1" x14ac:dyDescent="0.2">
      <c r="A35" s="579" t="s">
        <v>37</v>
      </c>
      <c r="B35" s="580"/>
      <c r="C35" s="580" t="s">
        <v>37</v>
      </c>
      <c r="D35" s="580"/>
      <c r="E35" s="580" t="s">
        <v>37</v>
      </c>
      <c r="F35" s="580"/>
      <c r="G35" s="580" t="s">
        <v>37</v>
      </c>
      <c r="H35" s="580"/>
      <c r="I35" s="605"/>
    </row>
    <row r="36" spans="1:9" ht="15" customHeight="1" x14ac:dyDescent="0.2">
      <c r="A36" s="579" t="s">
        <v>37</v>
      </c>
      <c r="B36" s="580"/>
      <c r="C36" s="580" t="s">
        <v>37</v>
      </c>
      <c r="D36" s="580"/>
      <c r="E36" s="580" t="s">
        <v>37</v>
      </c>
      <c r="F36" s="580"/>
      <c r="G36" s="580" t="s">
        <v>37</v>
      </c>
      <c r="H36" s="580"/>
      <c r="I36" s="605"/>
    </row>
    <row r="37" spans="1:9" ht="15" customHeight="1" x14ac:dyDescent="0.2">
      <c r="A37" s="579" t="s">
        <v>37</v>
      </c>
      <c r="B37" s="580"/>
      <c r="C37" s="580" t="s">
        <v>37</v>
      </c>
      <c r="D37" s="580"/>
      <c r="E37" s="580" t="s">
        <v>37</v>
      </c>
      <c r="F37" s="580"/>
      <c r="G37" s="580" t="s">
        <v>37</v>
      </c>
      <c r="H37" s="580"/>
      <c r="I37" s="605"/>
    </row>
    <row r="38" spans="1:9" ht="15" customHeight="1" x14ac:dyDescent="0.2">
      <c r="A38" s="60"/>
      <c r="B38" s="59"/>
      <c r="C38" s="59"/>
      <c r="D38" s="59"/>
      <c r="E38" s="59"/>
      <c r="F38" s="59"/>
      <c r="G38" s="59"/>
      <c r="H38" s="59"/>
      <c r="I38" s="61"/>
    </row>
    <row r="39" spans="1:9" ht="15" thickBot="1" x14ac:dyDescent="0.25">
      <c r="A39" s="44"/>
      <c r="B39" s="45"/>
      <c r="C39" s="45"/>
      <c r="D39" s="45"/>
      <c r="E39" s="45"/>
      <c r="F39" s="45"/>
      <c r="G39" s="45"/>
      <c r="H39" s="45"/>
      <c r="I39" s="46"/>
    </row>
    <row r="40" spans="1:9" ht="17.25" customHeight="1" x14ac:dyDescent="0.2">
      <c r="A40" s="603" t="s">
        <v>38</v>
      </c>
      <c r="B40" s="604"/>
      <c r="C40" s="604"/>
      <c r="D40" s="47"/>
      <c r="E40" s="47"/>
      <c r="F40" s="47"/>
      <c r="G40" s="47"/>
      <c r="H40" s="47"/>
      <c r="I40" s="48"/>
    </row>
    <row r="41" spans="1:9" ht="15" customHeight="1" x14ac:dyDescent="0.2">
      <c r="A41" s="49" t="s">
        <v>117</v>
      </c>
      <c r="B41" s="50" t="s">
        <v>39</v>
      </c>
      <c r="C41" s="40"/>
      <c r="D41" s="583" t="s">
        <v>40</v>
      </c>
      <c r="E41" s="583"/>
      <c r="F41" s="583"/>
      <c r="G41" s="583" t="s">
        <v>183</v>
      </c>
      <c r="H41" s="583"/>
      <c r="I41" s="600"/>
    </row>
    <row r="42" spans="1:9" ht="14.25" x14ac:dyDescent="0.2">
      <c r="A42" s="363" t="s">
        <v>110</v>
      </c>
      <c r="B42" s="362" t="s">
        <v>41</v>
      </c>
      <c r="C42" s="40"/>
      <c r="D42" s="580" t="s">
        <v>42</v>
      </c>
      <c r="E42" s="580"/>
      <c r="F42" s="580"/>
      <c r="G42" s="580" t="s">
        <v>187</v>
      </c>
      <c r="H42" s="580"/>
      <c r="I42" s="605"/>
    </row>
    <row r="43" spans="1:9" ht="14.25" x14ac:dyDescent="0.2">
      <c r="A43" s="363" t="s">
        <v>110</v>
      </c>
      <c r="B43" s="362" t="s">
        <v>41</v>
      </c>
      <c r="C43" s="40"/>
      <c r="D43" s="580" t="s">
        <v>42</v>
      </c>
      <c r="E43" s="580"/>
      <c r="F43" s="580"/>
      <c r="G43" s="580" t="s">
        <v>187</v>
      </c>
      <c r="H43" s="580"/>
      <c r="I43" s="605"/>
    </row>
    <row r="44" spans="1:9" ht="14.25" x14ac:dyDescent="0.2">
      <c r="A44" s="63" t="s">
        <v>110</v>
      </c>
      <c r="B44" s="59" t="s">
        <v>41</v>
      </c>
      <c r="C44" s="40"/>
      <c r="D44" s="580" t="s">
        <v>42</v>
      </c>
      <c r="E44" s="580"/>
      <c r="F44" s="580"/>
      <c r="G44" s="580" t="s">
        <v>186</v>
      </c>
      <c r="H44" s="580"/>
      <c r="I44" s="605"/>
    </row>
    <row r="45" spans="1:9" ht="14.25" x14ac:dyDescent="0.2">
      <c r="A45" s="63" t="s">
        <v>110</v>
      </c>
      <c r="B45" s="59" t="s">
        <v>41</v>
      </c>
      <c r="C45" s="40"/>
      <c r="D45" s="580" t="s">
        <v>42</v>
      </c>
      <c r="E45" s="580"/>
      <c r="F45" s="580"/>
      <c r="G45" s="580" t="s">
        <v>187</v>
      </c>
      <c r="H45" s="580"/>
      <c r="I45" s="605"/>
    </row>
    <row r="46" spans="1:9" ht="14.25" x14ac:dyDescent="0.2">
      <c r="A46" s="63" t="s">
        <v>110</v>
      </c>
      <c r="B46" s="59" t="s">
        <v>41</v>
      </c>
      <c r="C46" s="40"/>
      <c r="D46" s="580" t="s">
        <v>42</v>
      </c>
      <c r="E46" s="580"/>
      <c r="F46" s="580"/>
      <c r="G46" s="580" t="s">
        <v>187</v>
      </c>
      <c r="H46" s="580"/>
      <c r="I46" s="605"/>
    </row>
    <row r="47" spans="1:9" ht="14.25" x14ac:dyDescent="0.2">
      <c r="A47" s="63" t="s">
        <v>110</v>
      </c>
      <c r="B47" s="59" t="s">
        <v>41</v>
      </c>
      <c r="C47" s="40"/>
      <c r="D47" s="580" t="s">
        <v>42</v>
      </c>
      <c r="E47" s="580"/>
      <c r="F47" s="580"/>
      <c r="G47" s="580" t="s">
        <v>7</v>
      </c>
      <c r="H47" s="580"/>
      <c r="I47" s="605"/>
    </row>
    <row r="48" spans="1:9" ht="14.25" x14ac:dyDescent="0.2">
      <c r="A48" s="63"/>
      <c r="B48" s="59"/>
      <c r="C48" s="40"/>
      <c r="D48" s="59"/>
      <c r="E48" s="59"/>
      <c r="F48" s="59"/>
      <c r="G48" s="68"/>
      <c r="H48" s="68"/>
      <c r="I48" s="75"/>
    </row>
    <row r="49" spans="1:9" ht="12" customHeight="1" thickBot="1" x14ac:dyDescent="0.25">
      <c r="A49" s="44"/>
      <c r="B49" s="45"/>
      <c r="C49" s="45"/>
      <c r="D49" s="45"/>
      <c r="E49" s="45"/>
      <c r="F49" s="45"/>
      <c r="G49" s="45"/>
      <c r="H49" s="45"/>
      <c r="I49" s="46"/>
    </row>
    <row r="50" spans="1:9" x14ac:dyDescent="0.2">
      <c r="A50" s="34" t="s">
        <v>108</v>
      </c>
      <c r="B50" s="14"/>
      <c r="G50" s="15"/>
      <c r="I50" s="16"/>
    </row>
  </sheetData>
  <customSheetViews>
    <customSheetView guid="{B697A606-4F7D-4003-A961-6D85D54ED7E6}" showPageBreaks="1" showGridLines="0" showRuler="0">
      <selection activeCell="C25" sqref="C25:D25"/>
      <rowBreaks count="1" manualBreakCount="1">
        <brk id="43" max="16383" man="1"/>
      </rowBreaks>
      <pageMargins left="0.75" right="0.75" top="1" bottom="1" header="0.5" footer="0.5"/>
      <pageSetup paperSize="9" scale="95" orientation="portrait" r:id="rId1"/>
      <headerFooter alignWithMargins="0"/>
    </customSheetView>
    <customSheetView guid="{A0FBF4F0-B30E-4ACB-A5FE-211E2EFA502B}" showPageBreaks="1" showGridLines="0" showRuler="0">
      <selection activeCell="M36" sqref="M36"/>
      <rowBreaks count="1" manualBreakCount="1">
        <brk id="43" max="16383" man="1"/>
      </rowBreaks>
      <pageMargins left="0.75" right="0.75" top="1" bottom="1" header="0.5" footer="0.5"/>
      <pageSetup paperSize="9" scale="95" orientation="portrait" r:id="rId2"/>
      <headerFooter alignWithMargins="0"/>
    </customSheetView>
  </customSheetViews>
  <mergeCells count="60">
    <mergeCell ref="G46:I46"/>
    <mergeCell ref="G47:I47"/>
    <mergeCell ref="A40:C40"/>
    <mergeCell ref="G41:I41"/>
    <mergeCell ref="G42:I42"/>
    <mergeCell ref="D47:F47"/>
    <mergeCell ref="D45:F45"/>
    <mergeCell ref="D46:F46"/>
    <mergeCell ref="G45:I45"/>
    <mergeCell ref="D43:F43"/>
    <mergeCell ref="G43:I43"/>
    <mergeCell ref="G37:I37"/>
    <mergeCell ref="D41:F41"/>
    <mergeCell ref="G44:I44"/>
    <mergeCell ref="G36:I36"/>
    <mergeCell ref="D44:F44"/>
    <mergeCell ref="D42:F42"/>
    <mergeCell ref="C36:D36"/>
    <mergeCell ref="E36:F36"/>
    <mergeCell ref="A12:D12"/>
    <mergeCell ref="A24:D24"/>
    <mergeCell ref="E32:F32"/>
    <mergeCell ref="E33:F33"/>
    <mergeCell ref="A37:B37"/>
    <mergeCell ref="C37:D37"/>
    <mergeCell ref="E37:F37"/>
    <mergeCell ref="A36:B36"/>
    <mergeCell ref="A20:D20"/>
    <mergeCell ref="A21:D21"/>
    <mergeCell ref="A22:D22"/>
    <mergeCell ref="A23:D23"/>
    <mergeCell ref="C35:D35"/>
    <mergeCell ref="C34:D34"/>
    <mergeCell ref="G34:I34"/>
    <mergeCell ref="A35:B35"/>
    <mergeCell ref="A33:B33"/>
    <mergeCell ref="C32:D32"/>
    <mergeCell ref="A34:B34"/>
    <mergeCell ref="A32:B32"/>
    <mergeCell ref="G35:I35"/>
    <mergeCell ref="E34:F34"/>
    <mergeCell ref="E35:F35"/>
    <mergeCell ref="G33:I33"/>
    <mergeCell ref="C33:D33"/>
    <mergeCell ref="G1:H1"/>
    <mergeCell ref="F11:I11"/>
    <mergeCell ref="G31:I31"/>
    <mergeCell ref="G32:I32"/>
    <mergeCell ref="A31:B31"/>
    <mergeCell ref="E31:F31"/>
    <mergeCell ref="A19:D19"/>
    <mergeCell ref="A18:D18"/>
    <mergeCell ref="A17:D17"/>
    <mergeCell ref="A16:D16"/>
    <mergeCell ref="A15:D15"/>
    <mergeCell ref="A14:D14"/>
    <mergeCell ref="A9:D9"/>
    <mergeCell ref="A3:I3"/>
    <mergeCell ref="A4:H4"/>
    <mergeCell ref="C31:D31"/>
  </mergeCells>
  <phoneticPr fontId="10" type="noConversion"/>
  <printOptions horizontalCentered="1"/>
  <pageMargins left="0.83" right="0.32" top="0.63" bottom="1.49" header="0.47" footer="0.51181102362204722"/>
  <pageSetup paperSize="9" scale="80" orientation="portrait" horizontalDpi="300" verticalDpi="300" r:id="rId3"/>
  <headerFooter alignWithMargins="0"/>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J139"/>
  <sheetViews>
    <sheetView showGridLines="0" view="pageBreakPreview" zoomScaleSheetLayoutView="100" workbookViewId="0">
      <selection activeCell="G6" sqref="G6:G16"/>
    </sheetView>
  </sheetViews>
  <sheetFormatPr defaultRowHeight="12.75" x14ac:dyDescent="0.2"/>
  <cols>
    <col min="1" max="1" width="2.28515625" style="6" customWidth="1"/>
    <col min="2" max="2" width="5.7109375" style="6" customWidth="1"/>
    <col min="3" max="3" width="10.140625" style="371" customWidth="1"/>
    <col min="4" max="4" width="50.85546875" style="6" customWidth="1"/>
    <col min="5" max="5" width="10" style="6" customWidth="1"/>
    <col min="6" max="6" width="13.7109375" style="6" customWidth="1"/>
    <col min="7" max="8" width="12" style="6" customWidth="1"/>
    <col min="9" max="9" width="1.85546875" style="6" customWidth="1"/>
    <col min="10" max="10" width="14.85546875" style="65" bestFit="1" customWidth="1"/>
    <col min="11" max="16384" width="9.140625" style="6"/>
  </cols>
  <sheetData>
    <row r="1" spans="2:10" ht="32.1" customHeight="1" thickBot="1" x14ac:dyDescent="0.3">
      <c r="B1" s="651" t="s">
        <v>116</v>
      </c>
      <c r="C1" s="652"/>
      <c r="D1" s="652"/>
      <c r="E1" s="652"/>
      <c r="F1" s="652"/>
      <c r="G1" s="652"/>
      <c r="H1" s="653"/>
    </row>
    <row r="2" spans="2:10" ht="32.1" customHeight="1" thickBot="1" x14ac:dyDescent="0.25">
      <c r="B2" s="654" t="str">
        <f>'Hakediş Raporu Kapağı'!F9</f>
        <v xml:space="preserve">Araklı Çankaya Yibo Lojman İnşaatı İşi </v>
      </c>
      <c r="C2" s="655"/>
      <c r="D2" s="655"/>
      <c r="E2" s="655"/>
      <c r="F2" s="655"/>
      <c r="G2" s="655"/>
      <c r="H2" s="656"/>
    </row>
    <row r="3" spans="2:10" ht="20.100000000000001" customHeight="1" thickBot="1" x14ac:dyDescent="0.25">
      <c r="B3" s="654"/>
      <c r="C3" s="655"/>
      <c r="D3" s="655"/>
      <c r="E3" s="655"/>
      <c r="F3" s="657"/>
      <c r="G3" s="101" t="s">
        <v>197</v>
      </c>
      <c r="H3" s="290">
        <v>1</v>
      </c>
    </row>
    <row r="4" spans="2:10" ht="26.25" customHeight="1" thickBot="1" x14ac:dyDescent="0.25">
      <c r="B4" s="658" t="s">
        <v>764</v>
      </c>
      <c r="C4" s="659"/>
      <c r="D4" s="659"/>
      <c r="E4" s="659"/>
      <c r="F4" s="660"/>
      <c r="G4" s="107" t="s">
        <v>198</v>
      </c>
      <c r="H4" s="394" t="str">
        <f>'Hakediş Raporu Kapağı'!F6</f>
        <v>5(Beş)</v>
      </c>
    </row>
    <row r="5" spans="2:10" s="9" customFormat="1" ht="42.75" customHeight="1" x14ac:dyDescent="0.2">
      <c r="B5" s="372" t="s">
        <v>15</v>
      </c>
      <c r="C5" s="373" t="s">
        <v>17</v>
      </c>
      <c r="D5" s="374" t="s">
        <v>16</v>
      </c>
      <c r="E5" s="374" t="s">
        <v>124</v>
      </c>
      <c r="F5" s="374" t="s">
        <v>125</v>
      </c>
      <c r="G5" s="374" t="s">
        <v>126</v>
      </c>
      <c r="H5" s="375" t="s">
        <v>127</v>
      </c>
      <c r="J5" s="114" t="s">
        <v>206</v>
      </c>
    </row>
    <row r="6" spans="2:10" customFormat="1" ht="48" x14ac:dyDescent="0.2">
      <c r="B6" s="376">
        <v>1</v>
      </c>
      <c r="C6" s="377" t="s">
        <v>175</v>
      </c>
      <c r="D6" s="380" t="s">
        <v>338</v>
      </c>
      <c r="E6" s="98">
        <v>0.104049</v>
      </c>
      <c r="F6" s="98">
        <f>+G6+H6</f>
        <v>0.104049</v>
      </c>
      <c r="G6" s="99">
        <v>0.104049</v>
      </c>
      <c r="H6" s="96">
        <v>0</v>
      </c>
      <c r="J6" s="382">
        <f>E6-F6</f>
        <v>0</v>
      </c>
    </row>
    <row r="7" spans="2:10" customFormat="1" ht="36" x14ac:dyDescent="0.2">
      <c r="B7" s="376">
        <v>2</v>
      </c>
      <c r="C7" s="377" t="s">
        <v>295</v>
      </c>
      <c r="D7" s="380" t="s">
        <v>340</v>
      </c>
      <c r="E7" s="98">
        <v>0.129327</v>
      </c>
      <c r="F7" s="98">
        <f t="shared" ref="F7:F16" si="0">+G7+H7</f>
        <v>0.129327</v>
      </c>
      <c r="G7" s="99">
        <v>0.129327</v>
      </c>
      <c r="H7" s="96">
        <v>0</v>
      </c>
      <c r="J7" s="382">
        <f t="shared" ref="J7:J16" si="1">E7-F7</f>
        <v>0</v>
      </c>
    </row>
    <row r="8" spans="2:10" customFormat="1" ht="16.5" customHeight="1" x14ac:dyDescent="0.2">
      <c r="B8" s="376">
        <v>3</v>
      </c>
      <c r="C8" s="377" t="s">
        <v>128</v>
      </c>
      <c r="D8" s="381" t="s">
        <v>296</v>
      </c>
      <c r="E8" s="98">
        <f>+(1707.7+31.83+174.54)/696047.51*100</f>
        <v>0.27499128615516488</v>
      </c>
      <c r="F8" s="98">
        <f t="shared" si="0"/>
        <v>0.27499128615516488</v>
      </c>
      <c r="G8" s="99">
        <v>0.27499128615516488</v>
      </c>
      <c r="H8" s="96">
        <v>0</v>
      </c>
      <c r="J8" s="382">
        <f t="shared" si="1"/>
        <v>0</v>
      </c>
    </row>
    <row r="9" spans="2:10" customFormat="1" ht="16.5" customHeight="1" x14ac:dyDescent="0.2">
      <c r="B9" s="376">
        <v>4</v>
      </c>
      <c r="C9" s="377" t="s">
        <v>129</v>
      </c>
      <c r="D9" s="381" t="s">
        <v>297</v>
      </c>
      <c r="E9" s="98">
        <f>+(916.25+19.89+85.17)/696047.51*100</f>
        <v>0.14672992652469943</v>
      </c>
      <c r="F9" s="98">
        <f t="shared" si="0"/>
        <v>0.14672992652469943</v>
      </c>
      <c r="G9" s="99">
        <v>0.14672992652469943</v>
      </c>
      <c r="H9" s="96">
        <v>0</v>
      </c>
      <c r="J9" s="382">
        <f t="shared" si="1"/>
        <v>0</v>
      </c>
    </row>
    <row r="10" spans="2:10" customFormat="1" ht="38.25" customHeight="1" x14ac:dyDescent="0.2">
      <c r="B10" s="376">
        <v>5</v>
      </c>
      <c r="C10" s="377" t="s">
        <v>132</v>
      </c>
      <c r="D10" s="380" t="s">
        <v>341</v>
      </c>
      <c r="E10" s="98">
        <v>1.126498</v>
      </c>
      <c r="F10" s="98">
        <f t="shared" si="0"/>
        <v>1.126498</v>
      </c>
      <c r="G10" s="99">
        <v>1.126498</v>
      </c>
      <c r="H10" s="96">
        <v>0</v>
      </c>
      <c r="J10" s="382">
        <f t="shared" si="1"/>
        <v>0</v>
      </c>
    </row>
    <row r="11" spans="2:10" customFormat="1" ht="24" x14ac:dyDescent="0.2">
      <c r="B11" s="376">
        <v>6</v>
      </c>
      <c r="C11" s="377" t="s">
        <v>134</v>
      </c>
      <c r="D11" s="380" t="s">
        <v>342</v>
      </c>
      <c r="E11" s="98">
        <f>+(664.4+2.04+7.16+26.68)/696047.51*100</f>
        <v>0.100608074871211</v>
      </c>
      <c r="F11" s="98">
        <f t="shared" si="0"/>
        <v>0.100608074871211</v>
      </c>
      <c r="G11" s="99">
        <v>0.100608074871211</v>
      </c>
      <c r="H11" s="96">
        <v>0</v>
      </c>
      <c r="J11" s="382">
        <f t="shared" si="1"/>
        <v>0</v>
      </c>
    </row>
    <row r="12" spans="2:10" customFormat="1" ht="60" x14ac:dyDescent="0.2">
      <c r="B12" s="376">
        <v>7</v>
      </c>
      <c r="C12" s="377" t="s">
        <v>142</v>
      </c>
      <c r="D12" s="380" t="s">
        <v>343</v>
      </c>
      <c r="E12" s="98">
        <v>0.87888699999999997</v>
      </c>
      <c r="F12" s="98">
        <f t="shared" si="0"/>
        <v>0.87888699999999997</v>
      </c>
      <c r="G12" s="99">
        <v>0.87888699999999997</v>
      </c>
      <c r="H12" s="96">
        <v>0</v>
      </c>
      <c r="J12" s="382">
        <f t="shared" si="1"/>
        <v>0</v>
      </c>
    </row>
    <row r="13" spans="2:10" customFormat="1" ht="39" customHeight="1" x14ac:dyDescent="0.2">
      <c r="B13" s="376">
        <v>8</v>
      </c>
      <c r="C13" s="378">
        <v>21011</v>
      </c>
      <c r="D13" s="380" t="s">
        <v>344</v>
      </c>
      <c r="E13" s="98">
        <v>0.34792899999999999</v>
      </c>
      <c r="F13" s="98">
        <f t="shared" si="0"/>
        <v>0.34792899999999999</v>
      </c>
      <c r="G13" s="99">
        <v>0.34792899999999999</v>
      </c>
      <c r="H13" s="96">
        <v>0</v>
      </c>
      <c r="J13" s="382">
        <f t="shared" si="1"/>
        <v>0</v>
      </c>
    </row>
    <row r="14" spans="2:10" customFormat="1" ht="27" customHeight="1" x14ac:dyDescent="0.2">
      <c r="B14" s="376">
        <v>9</v>
      </c>
      <c r="C14" s="378">
        <v>23014</v>
      </c>
      <c r="D14" s="380" t="s">
        <v>345</v>
      </c>
      <c r="E14" s="98">
        <f>+(1683.93+146.87)/696047.51*100</f>
        <v>0.26302802232565992</v>
      </c>
      <c r="F14" s="98">
        <f t="shared" si="0"/>
        <v>0.26302802232565992</v>
      </c>
      <c r="G14" s="99">
        <v>0.26302802232565992</v>
      </c>
      <c r="H14" s="96">
        <v>0</v>
      </c>
      <c r="J14" s="382">
        <f t="shared" si="1"/>
        <v>0</v>
      </c>
    </row>
    <row r="15" spans="2:10" customFormat="1" ht="24" x14ac:dyDescent="0.2">
      <c r="B15" s="376">
        <v>10</v>
      </c>
      <c r="C15" s="378">
        <v>23015</v>
      </c>
      <c r="D15" s="380" t="s">
        <v>346</v>
      </c>
      <c r="E15" s="98">
        <f>+(8262.18+760.12)/696047.51*100</f>
        <v>1.2962189894192713</v>
      </c>
      <c r="F15" s="98">
        <f t="shared" si="0"/>
        <v>1.2962189894192713</v>
      </c>
      <c r="G15" s="99">
        <v>1.2962189894192713</v>
      </c>
      <c r="H15" s="96">
        <v>0</v>
      </c>
      <c r="J15" s="382">
        <f t="shared" si="1"/>
        <v>0</v>
      </c>
    </row>
    <row r="16" spans="2:10" customFormat="1" ht="16.5" customHeight="1" x14ac:dyDescent="0.2">
      <c r="B16" s="89"/>
      <c r="C16" s="66"/>
      <c r="D16" s="379" t="s">
        <v>195</v>
      </c>
      <c r="E16" s="97">
        <f>(SUM(E6:E15)-4.6683)*-1</f>
        <v>3.3700703993666536E-5</v>
      </c>
      <c r="F16" s="98">
        <f t="shared" si="0"/>
        <v>3.3700703993666536E-5</v>
      </c>
      <c r="G16" s="99">
        <v>3.3700703993666536E-5</v>
      </c>
      <c r="H16" s="96">
        <v>0</v>
      </c>
      <c r="J16" s="382">
        <f t="shared" si="1"/>
        <v>0</v>
      </c>
    </row>
    <row r="17" spans="2:10" ht="15.95" customHeight="1" thickBot="1" x14ac:dyDescent="0.25">
      <c r="B17" s="664" t="s">
        <v>12</v>
      </c>
      <c r="C17" s="665"/>
      <c r="D17" s="665"/>
      <c r="E17" s="102">
        <f>+SUM(E6:E16)</f>
        <v>4.6683000000000003</v>
      </c>
      <c r="F17" s="102">
        <f>SUM(F6:F16)</f>
        <v>4.6683000000000003</v>
      </c>
      <c r="G17" s="102">
        <f>SUM(G6:G16)</f>
        <v>4.6683000000000003</v>
      </c>
      <c r="H17" s="103">
        <f>SUM(H6:H16)</f>
        <v>0</v>
      </c>
      <c r="J17" s="264"/>
    </row>
    <row r="18" spans="2:10" ht="12.75" customHeight="1" x14ac:dyDescent="0.2">
      <c r="B18" s="76" t="s">
        <v>64</v>
      </c>
      <c r="C18" s="369"/>
      <c r="D18" s="52"/>
      <c r="E18" s="58"/>
      <c r="F18" s="57"/>
      <c r="G18" s="52"/>
      <c r="H18" s="57"/>
      <c r="J18" s="383"/>
    </row>
    <row r="19" spans="2:10" ht="12.75" customHeight="1" x14ac:dyDescent="0.2">
      <c r="B19" s="76"/>
      <c r="C19" s="369"/>
      <c r="D19" s="52"/>
      <c r="F19" s="57"/>
      <c r="G19" s="52"/>
      <c r="H19" s="57"/>
      <c r="J19" s="258"/>
    </row>
    <row r="20" spans="2:10" ht="15.95" customHeight="1" x14ac:dyDescent="0.2">
      <c r="C20" s="646" t="s">
        <v>119</v>
      </c>
      <c r="D20" s="646"/>
      <c r="E20" s="647" t="s">
        <v>205</v>
      </c>
      <c r="F20" s="647"/>
      <c r="G20" s="647"/>
      <c r="H20" s="647"/>
      <c r="J20" s="258"/>
    </row>
    <row r="21" spans="2:10" x14ac:dyDescent="0.2">
      <c r="C21" s="648" t="str">
        <f>+'Hakediş Raporu Kapağı'!F13</f>
        <v>Özbulut Yapı Taah.İnş.Gıda San.ve Tic.Ltd.Şti.</v>
      </c>
      <c r="D21" s="648"/>
      <c r="E21" s="649"/>
      <c r="F21" s="650"/>
      <c r="G21" s="648" t="s">
        <v>292</v>
      </c>
      <c r="H21" s="648"/>
      <c r="J21" s="258"/>
    </row>
    <row r="22" spans="2:10" ht="15" customHeight="1" x14ac:dyDescent="0.2">
      <c r="C22" s="648"/>
      <c r="D22" s="648"/>
      <c r="E22" s="650"/>
      <c r="F22" s="650"/>
      <c r="G22" s="648" t="str">
        <f>+'ÖN BİLGİ'!F31</f>
        <v xml:space="preserve">  İnş.Müh.</v>
      </c>
      <c r="H22" s="648"/>
      <c r="J22" s="258"/>
    </row>
    <row r="23" spans="2:10" ht="15.75" thickBot="1" x14ac:dyDescent="0.25">
      <c r="C23" s="369"/>
      <c r="E23" s="52"/>
      <c r="F23" s="52"/>
      <c r="G23" s="52"/>
      <c r="J23" s="258"/>
    </row>
    <row r="24" spans="2:10" ht="32.25" customHeight="1" thickBot="1" x14ac:dyDescent="0.3">
      <c r="B24" s="651" t="s">
        <v>116</v>
      </c>
      <c r="C24" s="652"/>
      <c r="D24" s="652"/>
      <c r="E24" s="652"/>
      <c r="F24" s="652"/>
      <c r="G24" s="652"/>
      <c r="H24" s="653"/>
      <c r="J24" s="258"/>
    </row>
    <row r="25" spans="2:10" ht="16.5" thickBot="1" x14ac:dyDescent="0.25">
      <c r="B25" s="654" t="str">
        <f>+B2</f>
        <v xml:space="preserve">Araklı Çankaya Yibo Lojman İnşaatı İşi </v>
      </c>
      <c r="C25" s="655"/>
      <c r="D25" s="655"/>
      <c r="E25" s="655"/>
      <c r="F25" s="655"/>
      <c r="G25" s="655"/>
      <c r="H25" s="656"/>
      <c r="J25" s="258"/>
    </row>
    <row r="26" spans="2:10" ht="16.5" thickBot="1" x14ac:dyDescent="0.25">
      <c r="B26" s="654"/>
      <c r="C26" s="655"/>
      <c r="D26" s="655"/>
      <c r="E26" s="655"/>
      <c r="F26" s="657"/>
      <c r="G26" s="101" t="s">
        <v>197</v>
      </c>
      <c r="H26" s="88">
        <v>1</v>
      </c>
      <c r="J26" s="258"/>
    </row>
    <row r="27" spans="2:10" ht="22.5" customHeight="1" thickBot="1" x14ac:dyDescent="0.3">
      <c r="B27" s="658" t="s">
        <v>765</v>
      </c>
      <c r="C27" s="659"/>
      <c r="D27" s="659"/>
      <c r="E27" s="659"/>
      <c r="F27" s="660"/>
      <c r="G27" s="107" t="s">
        <v>198</v>
      </c>
      <c r="H27" s="291" t="str">
        <f>+'ÖN BİLGİ'!F6</f>
        <v>5(Beş)</v>
      </c>
      <c r="J27" s="258"/>
    </row>
    <row r="28" spans="2:10" ht="42.75" x14ac:dyDescent="0.2">
      <c r="B28" s="104" t="s">
        <v>15</v>
      </c>
      <c r="C28" s="370" t="s">
        <v>17</v>
      </c>
      <c r="D28" s="105" t="s">
        <v>16</v>
      </c>
      <c r="E28" s="109" t="s">
        <v>124</v>
      </c>
      <c r="F28" s="105" t="s">
        <v>125</v>
      </c>
      <c r="G28" s="105" t="s">
        <v>126</v>
      </c>
      <c r="H28" s="106" t="s">
        <v>127</v>
      </c>
      <c r="J28" s="259" t="s">
        <v>206</v>
      </c>
    </row>
    <row r="29" spans="2:10" ht="40.5" customHeight="1" x14ac:dyDescent="0.2">
      <c r="B29" s="376">
        <v>1</v>
      </c>
      <c r="C29" s="377" t="s">
        <v>132</v>
      </c>
      <c r="D29" s="387" t="s">
        <v>341</v>
      </c>
      <c r="E29" s="116">
        <v>3.6326459999999998</v>
      </c>
      <c r="F29" s="117">
        <f>+G29+H29</f>
        <v>3.6326460000000003</v>
      </c>
      <c r="G29" s="117">
        <v>3.6326460000000003</v>
      </c>
      <c r="H29" s="118">
        <v>0</v>
      </c>
      <c r="I29" s="110"/>
      <c r="J29" s="257">
        <f>E29-F29</f>
        <v>0</v>
      </c>
    </row>
    <row r="30" spans="2:10" ht="24" x14ac:dyDescent="0.2">
      <c r="B30" s="376">
        <v>2</v>
      </c>
      <c r="C30" s="377" t="s">
        <v>134</v>
      </c>
      <c r="D30" s="387" t="s">
        <v>342</v>
      </c>
      <c r="E30" s="116">
        <f>+(464.02+1.42+5+18.64)/696047.51*100</f>
        <v>7.026531852689194E-2</v>
      </c>
      <c r="F30" s="117">
        <f t="shared" ref="F30:F92" si="2">+G30+H30</f>
        <v>7.0265300000000003E-2</v>
      </c>
      <c r="G30" s="117">
        <v>5.6211999999999998E-2</v>
      </c>
      <c r="H30" s="118">
        <v>1.4053299999999999E-2</v>
      </c>
      <c r="I30" s="110"/>
      <c r="J30" s="257">
        <f t="shared" ref="J30:J92" si="3">E30-F30</f>
        <v>0</v>
      </c>
    </row>
    <row r="31" spans="2:10" ht="24" x14ac:dyDescent="0.2">
      <c r="B31" s="376">
        <v>3</v>
      </c>
      <c r="C31" s="377" t="s">
        <v>135</v>
      </c>
      <c r="D31" s="387" t="s">
        <v>347</v>
      </c>
      <c r="E31" s="116">
        <f>+(9265.92+23.56+103.35+377.04)/696047.51*100</f>
        <v>1.4036211407465562</v>
      </c>
      <c r="F31" s="117">
        <f t="shared" si="2"/>
        <v>1.4036211000000001</v>
      </c>
      <c r="G31" s="117">
        <v>1.1229</v>
      </c>
      <c r="H31" s="118">
        <v>0.2807211</v>
      </c>
      <c r="I31" s="110"/>
      <c r="J31" s="257">
        <f t="shared" si="3"/>
        <v>0</v>
      </c>
    </row>
    <row r="32" spans="2:10" ht="24" x14ac:dyDescent="0.2">
      <c r="B32" s="376">
        <v>4</v>
      </c>
      <c r="C32" s="377" t="s">
        <v>136</v>
      </c>
      <c r="D32" s="387" t="s">
        <v>348</v>
      </c>
      <c r="E32" s="116">
        <f>+(2842.98+11.74+41.2+91.2)/696047.51*100</f>
        <v>0.42915461331080684</v>
      </c>
      <c r="F32" s="117">
        <f t="shared" si="2"/>
        <v>0.42915460000000005</v>
      </c>
      <c r="G32" s="117">
        <v>0.34332400000000002</v>
      </c>
      <c r="H32" s="118">
        <v>8.5830600000000007E-2</v>
      </c>
      <c r="I32" s="110"/>
      <c r="J32" s="257">
        <f t="shared" si="3"/>
        <v>0</v>
      </c>
    </row>
    <row r="33" spans="2:10" x14ac:dyDescent="0.2">
      <c r="B33" s="376">
        <v>5</v>
      </c>
      <c r="C33" s="378">
        <v>18211</v>
      </c>
      <c r="D33" s="386" t="s">
        <v>298</v>
      </c>
      <c r="E33" s="116">
        <f>+(3037.89+701.06)/696047.51*100</f>
        <v>0.53716879182571886</v>
      </c>
      <c r="F33" s="117">
        <f t="shared" si="2"/>
        <v>0.5371688</v>
      </c>
      <c r="G33" s="117">
        <v>0.5371688</v>
      </c>
      <c r="H33" s="118">
        <v>0</v>
      </c>
      <c r="I33" s="110"/>
      <c r="J33" s="257">
        <f t="shared" si="3"/>
        <v>0</v>
      </c>
    </row>
    <row r="34" spans="2:10" x14ac:dyDescent="0.2">
      <c r="B34" s="376">
        <v>6</v>
      </c>
      <c r="C34" s="377" t="s">
        <v>139</v>
      </c>
      <c r="D34" s="386" t="s">
        <v>299</v>
      </c>
      <c r="E34" s="116">
        <f>+(217.93+0.47+1.65)/696047.51*100</f>
        <v>3.1614221276360863E-2</v>
      </c>
      <c r="F34" s="117">
        <f t="shared" si="2"/>
        <v>3.1614200000000002E-2</v>
      </c>
      <c r="G34" s="117">
        <v>0</v>
      </c>
      <c r="H34" s="118">
        <v>3.1614200000000002E-2</v>
      </c>
      <c r="I34" s="110"/>
      <c r="J34" s="257">
        <f t="shared" si="3"/>
        <v>0</v>
      </c>
    </row>
    <row r="35" spans="2:10" ht="50.25" customHeight="1" x14ac:dyDescent="0.2">
      <c r="B35" s="376">
        <v>7</v>
      </c>
      <c r="C35" s="377" t="s">
        <v>140</v>
      </c>
      <c r="D35" s="387" t="s">
        <v>349</v>
      </c>
      <c r="E35" s="116">
        <v>0.438915</v>
      </c>
      <c r="F35" s="117">
        <f t="shared" si="2"/>
        <v>0.438915</v>
      </c>
      <c r="G35" s="117">
        <v>0.438915</v>
      </c>
      <c r="H35" s="118">
        <v>0</v>
      </c>
      <c r="I35" s="110"/>
      <c r="J35" s="257">
        <f t="shared" si="3"/>
        <v>0</v>
      </c>
    </row>
    <row r="36" spans="2:10" ht="27.75" customHeight="1" x14ac:dyDescent="0.2">
      <c r="B36" s="376">
        <v>8</v>
      </c>
      <c r="C36" s="377" t="s">
        <v>143</v>
      </c>
      <c r="D36" s="387" t="s">
        <v>350</v>
      </c>
      <c r="E36" s="116">
        <v>0.178561</v>
      </c>
      <c r="F36" s="117">
        <f t="shared" si="2"/>
        <v>0.178561</v>
      </c>
      <c r="G36" s="117">
        <v>0.178561</v>
      </c>
      <c r="H36" s="118">
        <v>0</v>
      </c>
      <c r="I36" s="110"/>
      <c r="J36" s="257">
        <f t="shared" si="3"/>
        <v>0</v>
      </c>
    </row>
    <row r="37" spans="2:10" ht="54" customHeight="1" x14ac:dyDescent="0.2">
      <c r="B37" s="376">
        <v>9</v>
      </c>
      <c r="C37" s="377" t="s">
        <v>300</v>
      </c>
      <c r="D37" s="387" t="s">
        <v>351</v>
      </c>
      <c r="E37" s="116">
        <v>4.2798959999999999</v>
      </c>
      <c r="F37" s="117">
        <f t="shared" si="2"/>
        <v>3.4239168000000002</v>
      </c>
      <c r="G37" s="117">
        <v>0</v>
      </c>
      <c r="H37" s="118">
        <v>3.4239168000000002</v>
      </c>
      <c r="I37" s="110"/>
      <c r="J37" s="257">
        <f t="shared" si="3"/>
        <v>0</v>
      </c>
    </row>
    <row r="38" spans="2:10" ht="36" x14ac:dyDescent="0.2">
      <c r="B38" s="376">
        <v>10</v>
      </c>
      <c r="C38" s="378">
        <v>19082</v>
      </c>
      <c r="D38" s="387" t="s">
        <v>352</v>
      </c>
      <c r="E38" s="116">
        <v>0.22362599999999999</v>
      </c>
      <c r="F38" s="117">
        <f t="shared" si="2"/>
        <v>0.22362599999999999</v>
      </c>
      <c r="G38" s="117">
        <v>0</v>
      </c>
      <c r="H38" s="118">
        <v>0.22362599999999999</v>
      </c>
      <c r="I38" s="110"/>
      <c r="J38" s="257">
        <f t="shared" si="3"/>
        <v>0</v>
      </c>
    </row>
    <row r="39" spans="2:10" ht="40.5" customHeight="1" x14ac:dyDescent="0.2">
      <c r="B39" s="376">
        <v>11</v>
      </c>
      <c r="C39" s="378">
        <v>21011</v>
      </c>
      <c r="D39" s="387" t="s">
        <v>344</v>
      </c>
      <c r="E39" s="116">
        <v>3.678401</v>
      </c>
      <c r="F39" s="117">
        <f t="shared" si="2"/>
        <v>3.678401</v>
      </c>
      <c r="G39" s="117">
        <v>3.678401</v>
      </c>
      <c r="H39" s="118">
        <v>0</v>
      </c>
      <c r="I39" s="110"/>
      <c r="J39" s="257">
        <f t="shared" si="3"/>
        <v>0</v>
      </c>
    </row>
    <row r="40" spans="2:10" ht="36" x14ac:dyDescent="0.2">
      <c r="B40" s="376">
        <v>12</v>
      </c>
      <c r="C40" s="378">
        <v>21054</v>
      </c>
      <c r="D40" s="387" t="s">
        <v>353</v>
      </c>
      <c r="E40" s="116">
        <f>+(5814.02+3.38)/696047.51*100</f>
        <v>0.83577628199546328</v>
      </c>
      <c r="F40" s="117">
        <f t="shared" si="2"/>
        <v>0.83577630000000003</v>
      </c>
      <c r="G40" s="117">
        <v>0.83577630000000003</v>
      </c>
      <c r="H40" s="118">
        <v>0</v>
      </c>
      <c r="I40" s="110"/>
      <c r="J40" s="257">
        <f t="shared" si="3"/>
        <v>0</v>
      </c>
    </row>
    <row r="41" spans="2:10" ht="24" x14ac:dyDescent="0.2">
      <c r="B41" s="376">
        <v>13</v>
      </c>
      <c r="C41" s="378">
        <v>21066</v>
      </c>
      <c r="D41" s="387" t="s">
        <v>354</v>
      </c>
      <c r="E41" s="116">
        <f>+(885.48+0.31)/696047.51*100</f>
        <v>0.12725999120376136</v>
      </c>
      <c r="F41" s="117">
        <f t="shared" si="2"/>
        <v>8.2719000000000001E-2</v>
      </c>
      <c r="G41" s="117">
        <v>5.0903999999999998E-2</v>
      </c>
      <c r="H41" s="118">
        <v>3.1815000000000003E-2</v>
      </c>
      <c r="I41" s="110"/>
      <c r="J41" s="257">
        <f t="shared" si="3"/>
        <v>0</v>
      </c>
    </row>
    <row r="42" spans="2:10" ht="24" x14ac:dyDescent="0.2">
      <c r="B42" s="376">
        <v>14</v>
      </c>
      <c r="C42" s="378">
        <v>21067</v>
      </c>
      <c r="D42" s="387" t="s">
        <v>355</v>
      </c>
      <c r="E42" s="116">
        <f>+(4666.08+1.69)/696047.51*100</f>
        <v>0.6706108322979274</v>
      </c>
      <c r="F42" s="117">
        <f t="shared" si="2"/>
        <v>0.67061079999999995</v>
      </c>
      <c r="G42" s="117">
        <v>0</v>
      </c>
      <c r="H42" s="118">
        <v>0.67061079999999995</v>
      </c>
      <c r="I42" s="110"/>
      <c r="J42" s="257">
        <f t="shared" si="3"/>
        <v>0</v>
      </c>
    </row>
    <row r="43" spans="2:10" ht="24" x14ac:dyDescent="0.2">
      <c r="B43" s="376">
        <v>15</v>
      </c>
      <c r="C43" s="378">
        <v>21210</v>
      </c>
      <c r="D43" s="387" t="s">
        <v>356</v>
      </c>
      <c r="E43" s="116">
        <f>+(10329.66+5.84)/696047.51*100</f>
        <v>1.4848842717647248</v>
      </c>
      <c r="F43" s="117">
        <f t="shared" si="2"/>
        <v>1.4848843</v>
      </c>
      <c r="G43" s="117">
        <v>1.4848843</v>
      </c>
      <c r="H43" s="118">
        <v>0</v>
      </c>
      <c r="I43" s="110"/>
      <c r="J43" s="257">
        <f t="shared" si="3"/>
        <v>0</v>
      </c>
    </row>
    <row r="44" spans="2:10" ht="24" x14ac:dyDescent="0.2">
      <c r="B44" s="376">
        <v>16</v>
      </c>
      <c r="C44" s="377" t="s">
        <v>144</v>
      </c>
      <c r="D44" s="387" t="s">
        <v>357</v>
      </c>
      <c r="E44" s="116">
        <v>0.96548999999999996</v>
      </c>
      <c r="F44" s="117">
        <f t="shared" si="2"/>
        <v>0</v>
      </c>
      <c r="G44" s="117">
        <v>0</v>
      </c>
      <c r="H44" s="118">
        <v>0</v>
      </c>
      <c r="I44" s="110"/>
      <c r="J44" s="257">
        <f t="shared" si="3"/>
        <v>0</v>
      </c>
    </row>
    <row r="45" spans="2:10" ht="24" x14ac:dyDescent="0.2">
      <c r="B45" s="376">
        <v>17</v>
      </c>
      <c r="C45" s="378">
        <v>22002</v>
      </c>
      <c r="D45" s="387" t="s">
        <v>358</v>
      </c>
      <c r="E45" s="116">
        <v>0.195467</v>
      </c>
      <c r="F45" s="117">
        <f t="shared" si="2"/>
        <v>0</v>
      </c>
      <c r="G45" s="117">
        <v>0</v>
      </c>
      <c r="H45" s="118">
        <v>0</v>
      </c>
      <c r="I45" s="110"/>
      <c r="J45" s="257">
        <f t="shared" si="3"/>
        <v>0</v>
      </c>
    </row>
    <row r="46" spans="2:10" ht="36" x14ac:dyDescent="0.2">
      <c r="B46" s="376">
        <v>18</v>
      </c>
      <c r="C46" s="377" t="s">
        <v>145</v>
      </c>
      <c r="D46" s="387" t="s">
        <v>359</v>
      </c>
      <c r="E46" s="116">
        <v>1.24379</v>
      </c>
      <c r="F46" s="117">
        <f t="shared" si="2"/>
        <v>0</v>
      </c>
      <c r="G46" s="117">
        <v>0</v>
      </c>
      <c r="H46" s="118">
        <v>0</v>
      </c>
      <c r="I46" s="110"/>
      <c r="J46" s="257">
        <f t="shared" si="3"/>
        <v>0</v>
      </c>
    </row>
    <row r="47" spans="2:10" ht="24" x14ac:dyDescent="0.2">
      <c r="B47" s="376">
        <v>19</v>
      </c>
      <c r="C47" s="378">
        <v>22011</v>
      </c>
      <c r="D47" s="387" t="s">
        <v>360</v>
      </c>
      <c r="E47" s="116">
        <v>0.22531799999999999</v>
      </c>
      <c r="F47" s="117">
        <f t="shared" si="2"/>
        <v>0</v>
      </c>
      <c r="G47" s="117">
        <v>0</v>
      </c>
      <c r="H47" s="118">
        <v>0</v>
      </c>
      <c r="I47" s="110"/>
      <c r="J47" s="257">
        <f t="shared" si="3"/>
        <v>0</v>
      </c>
    </row>
    <row r="48" spans="2:10" x14ac:dyDescent="0.2">
      <c r="B48" s="376">
        <v>20</v>
      </c>
      <c r="C48" s="377" t="s">
        <v>301</v>
      </c>
      <c r="D48" s="386" t="s">
        <v>302</v>
      </c>
      <c r="E48" s="116">
        <v>0.91298699999999999</v>
      </c>
      <c r="F48" s="117">
        <f t="shared" si="2"/>
        <v>0</v>
      </c>
      <c r="G48" s="117">
        <v>0</v>
      </c>
      <c r="H48" s="118">
        <v>0</v>
      </c>
      <c r="I48" s="110"/>
      <c r="J48" s="257">
        <f t="shared" si="3"/>
        <v>0</v>
      </c>
    </row>
    <row r="49" spans="2:10" x14ac:dyDescent="0.2">
      <c r="B49" s="376">
        <v>21</v>
      </c>
      <c r="C49" s="377" t="s">
        <v>303</v>
      </c>
      <c r="D49" s="386" t="s">
        <v>304</v>
      </c>
      <c r="E49" s="116">
        <v>0.72374099999999997</v>
      </c>
      <c r="F49" s="117">
        <f t="shared" si="2"/>
        <v>0</v>
      </c>
      <c r="G49" s="117">
        <v>0</v>
      </c>
      <c r="H49" s="118">
        <v>0</v>
      </c>
      <c r="I49" s="110"/>
      <c r="J49" s="257">
        <f t="shared" si="3"/>
        <v>0</v>
      </c>
    </row>
    <row r="50" spans="2:10" ht="29.25" customHeight="1" x14ac:dyDescent="0.2">
      <c r="B50" s="376">
        <v>22</v>
      </c>
      <c r="C50" s="378">
        <v>23014</v>
      </c>
      <c r="D50" s="387" t="s">
        <v>345</v>
      </c>
      <c r="E50" s="116">
        <f>+(28541.83+2490.16)/696047.51*100</f>
        <v>4.4583149216351625</v>
      </c>
      <c r="F50" s="117">
        <f t="shared" si="2"/>
        <v>4.4583148999999995</v>
      </c>
      <c r="G50" s="117">
        <v>4.4583148999999995</v>
      </c>
      <c r="H50" s="118">
        <v>0</v>
      </c>
      <c r="I50" s="110"/>
      <c r="J50" s="257">
        <f t="shared" si="3"/>
        <v>0</v>
      </c>
    </row>
    <row r="51" spans="2:10" ht="24" x14ac:dyDescent="0.2">
      <c r="B51" s="376">
        <v>23</v>
      </c>
      <c r="C51" s="378">
        <v>23015</v>
      </c>
      <c r="D51" s="387" t="s">
        <v>346</v>
      </c>
      <c r="E51" s="116">
        <f>+(13994.24+1287.3)/696047.51*100</f>
        <v>2.1954736969032473</v>
      </c>
      <c r="F51" s="117">
        <f t="shared" si="2"/>
        <v>2.1954737</v>
      </c>
      <c r="G51" s="117">
        <v>2.1954737</v>
      </c>
      <c r="H51" s="118">
        <v>0</v>
      </c>
      <c r="I51" s="110"/>
      <c r="J51" s="257">
        <f t="shared" si="3"/>
        <v>0</v>
      </c>
    </row>
    <row r="52" spans="2:10" ht="24" x14ac:dyDescent="0.2">
      <c r="B52" s="376">
        <v>24</v>
      </c>
      <c r="C52" s="378">
        <v>23152</v>
      </c>
      <c r="D52" s="387" t="s">
        <v>361</v>
      </c>
      <c r="E52" s="116">
        <f>+(4797.69+47.04)/696047.51*100</f>
        <v>0.69603438420460695</v>
      </c>
      <c r="F52" s="117">
        <f t="shared" si="2"/>
        <v>0</v>
      </c>
      <c r="G52" s="117">
        <v>0</v>
      </c>
      <c r="H52" s="118">
        <v>0</v>
      </c>
      <c r="I52" s="110"/>
      <c r="J52" s="257">
        <f t="shared" si="3"/>
        <v>0</v>
      </c>
    </row>
    <row r="53" spans="2:10" ht="36" x14ac:dyDescent="0.2">
      <c r="B53" s="376">
        <v>25</v>
      </c>
      <c r="C53" s="377" t="s">
        <v>146</v>
      </c>
      <c r="D53" s="387" t="s">
        <v>362</v>
      </c>
      <c r="E53" s="116">
        <v>3.5768019999999998</v>
      </c>
      <c r="F53" s="117">
        <f t="shared" si="2"/>
        <v>3.5768019999999998</v>
      </c>
      <c r="G53" s="117">
        <v>0</v>
      </c>
      <c r="H53" s="118">
        <v>3.5768019999999998</v>
      </c>
      <c r="I53" s="110"/>
      <c r="J53" s="257">
        <f t="shared" si="3"/>
        <v>0</v>
      </c>
    </row>
    <row r="54" spans="2:10" ht="48" x14ac:dyDescent="0.2">
      <c r="B54" s="376">
        <v>26</v>
      </c>
      <c r="C54" s="377" t="s">
        <v>147</v>
      </c>
      <c r="D54" s="387" t="s">
        <v>363</v>
      </c>
      <c r="E54" s="116">
        <v>0.58617699999999995</v>
      </c>
      <c r="F54" s="117">
        <f t="shared" si="2"/>
        <v>0</v>
      </c>
      <c r="G54" s="117">
        <v>0</v>
      </c>
      <c r="H54" s="118">
        <v>0</v>
      </c>
      <c r="I54" s="110"/>
      <c r="J54" s="257">
        <f t="shared" si="3"/>
        <v>0</v>
      </c>
    </row>
    <row r="55" spans="2:10" ht="24" x14ac:dyDescent="0.2">
      <c r="B55" s="376">
        <v>27</v>
      </c>
      <c r="C55" s="377" t="s">
        <v>148</v>
      </c>
      <c r="D55" s="387" t="s">
        <v>364</v>
      </c>
      <c r="E55" s="116">
        <v>0.18381400000000001</v>
      </c>
      <c r="F55" s="117">
        <f t="shared" si="2"/>
        <v>0</v>
      </c>
      <c r="G55" s="117">
        <v>0</v>
      </c>
      <c r="H55" s="118">
        <v>0</v>
      </c>
      <c r="I55" s="110"/>
      <c r="J55" s="257">
        <f t="shared" si="3"/>
        <v>0</v>
      </c>
    </row>
    <row r="56" spans="2:10" ht="24" x14ac:dyDescent="0.2">
      <c r="B56" s="376">
        <v>28</v>
      </c>
      <c r="C56" s="377" t="s">
        <v>149</v>
      </c>
      <c r="D56" s="387" t="s">
        <v>365</v>
      </c>
      <c r="E56" s="116">
        <v>0.197515</v>
      </c>
      <c r="F56" s="117">
        <f t="shared" si="2"/>
        <v>0</v>
      </c>
      <c r="G56" s="117">
        <v>0</v>
      </c>
      <c r="H56" s="118">
        <v>0</v>
      </c>
      <c r="I56" s="110"/>
      <c r="J56" s="257">
        <f t="shared" si="3"/>
        <v>0</v>
      </c>
    </row>
    <row r="57" spans="2:10" ht="36" x14ac:dyDescent="0.2">
      <c r="B57" s="376">
        <v>29</v>
      </c>
      <c r="C57" s="378">
        <v>24020</v>
      </c>
      <c r="D57" s="387" t="s">
        <v>366</v>
      </c>
      <c r="E57" s="116">
        <v>2.7813999999999998E-2</v>
      </c>
      <c r="F57" s="117">
        <f t="shared" si="2"/>
        <v>2.7813999999999998E-2</v>
      </c>
      <c r="G57" s="117">
        <v>2.7813999999999998E-2</v>
      </c>
      <c r="H57" s="118">
        <v>0</v>
      </c>
      <c r="I57" s="110"/>
      <c r="J57" s="257">
        <f t="shared" si="3"/>
        <v>0</v>
      </c>
    </row>
    <row r="58" spans="2:10" ht="27" customHeight="1" x14ac:dyDescent="0.2">
      <c r="B58" s="376">
        <v>30</v>
      </c>
      <c r="C58" s="378">
        <v>24061</v>
      </c>
      <c r="D58" s="387" t="s">
        <v>367</v>
      </c>
      <c r="E58" s="116">
        <f>+(488.38+2.46)/696047.51*100</f>
        <v>7.0518174829761263E-2</v>
      </c>
      <c r="F58" s="117">
        <f t="shared" si="2"/>
        <v>0</v>
      </c>
      <c r="G58" s="117">
        <v>0</v>
      </c>
      <c r="H58" s="118">
        <v>0</v>
      </c>
      <c r="I58" s="110"/>
      <c r="J58" s="257">
        <f t="shared" si="3"/>
        <v>0</v>
      </c>
    </row>
    <row r="59" spans="2:10" ht="24" x14ac:dyDescent="0.2">
      <c r="B59" s="376">
        <v>31</v>
      </c>
      <c r="C59" s="378">
        <v>24063</v>
      </c>
      <c r="D59" s="387" t="s">
        <v>368</v>
      </c>
      <c r="E59" s="116">
        <f>+(630.97+4.92)/696047.51*100</f>
        <v>9.1357269563395183E-2</v>
      </c>
      <c r="F59" s="117">
        <f t="shared" si="2"/>
        <v>9.1357300000000002E-2</v>
      </c>
      <c r="G59" s="117">
        <v>9.1357300000000002E-2</v>
      </c>
      <c r="H59" s="118">
        <v>0</v>
      </c>
      <c r="I59" s="110"/>
      <c r="J59" s="257">
        <f t="shared" si="3"/>
        <v>0</v>
      </c>
    </row>
    <row r="60" spans="2:10" ht="24" x14ac:dyDescent="0.2">
      <c r="B60" s="376">
        <v>32</v>
      </c>
      <c r="C60" s="377" t="s">
        <v>150</v>
      </c>
      <c r="D60" s="387" t="s">
        <v>387</v>
      </c>
      <c r="E60" s="116">
        <v>5.5884000000000003E-2</v>
      </c>
      <c r="F60" s="117">
        <f t="shared" si="2"/>
        <v>0</v>
      </c>
      <c r="G60" s="117">
        <v>0</v>
      </c>
      <c r="H60" s="118">
        <v>0</v>
      </c>
      <c r="I60" s="110"/>
      <c r="J60" s="257">
        <f t="shared" si="3"/>
        <v>0</v>
      </c>
    </row>
    <row r="61" spans="2:10" x14ac:dyDescent="0.2">
      <c r="B61" s="376">
        <v>33</v>
      </c>
      <c r="C61" s="378">
        <v>25045</v>
      </c>
      <c r="D61" s="386" t="s">
        <v>306</v>
      </c>
      <c r="E61" s="116">
        <f>+(265.69+1.6)/696047.51*100</f>
        <v>3.8401114314739811E-2</v>
      </c>
      <c r="F61" s="117">
        <f t="shared" si="2"/>
        <v>0</v>
      </c>
      <c r="G61" s="117">
        <v>0</v>
      </c>
      <c r="H61" s="118">
        <v>0</v>
      </c>
      <c r="I61" s="110"/>
      <c r="J61" s="257">
        <f t="shared" si="3"/>
        <v>0</v>
      </c>
    </row>
    <row r="62" spans="2:10" ht="24" x14ac:dyDescent="0.2">
      <c r="B62" s="376">
        <v>34</v>
      </c>
      <c r="C62" s="377" t="s">
        <v>151</v>
      </c>
      <c r="D62" s="387" t="s">
        <v>369</v>
      </c>
      <c r="E62" s="116">
        <v>0.83774000000000004</v>
      </c>
      <c r="F62" s="117">
        <f t="shared" si="2"/>
        <v>0</v>
      </c>
      <c r="G62" s="117">
        <v>0</v>
      </c>
      <c r="H62" s="118">
        <v>0</v>
      </c>
      <c r="I62" s="110"/>
      <c r="J62" s="257">
        <f t="shared" si="3"/>
        <v>0</v>
      </c>
    </row>
    <row r="63" spans="2:10" ht="24" x14ac:dyDescent="0.2">
      <c r="B63" s="376">
        <v>35</v>
      </c>
      <c r="C63" s="377" t="s">
        <v>152</v>
      </c>
      <c r="D63" s="387" t="s">
        <v>370</v>
      </c>
      <c r="E63" s="116">
        <v>1.416388</v>
      </c>
      <c r="F63" s="117">
        <f t="shared" si="2"/>
        <v>0</v>
      </c>
      <c r="G63" s="117">
        <v>0</v>
      </c>
      <c r="H63" s="118">
        <v>0</v>
      </c>
      <c r="I63" s="110"/>
      <c r="J63" s="257">
        <f t="shared" si="3"/>
        <v>0</v>
      </c>
    </row>
    <row r="64" spans="2:10" ht="36" x14ac:dyDescent="0.2">
      <c r="B64" s="376">
        <v>36</v>
      </c>
      <c r="C64" s="377" t="s">
        <v>153</v>
      </c>
      <c r="D64" s="387" t="s">
        <v>371</v>
      </c>
      <c r="E64" s="116">
        <v>0.35346699999999998</v>
      </c>
      <c r="F64" s="117">
        <f t="shared" si="2"/>
        <v>0.35346699999999998</v>
      </c>
      <c r="G64" s="117">
        <v>0</v>
      </c>
      <c r="H64" s="118">
        <v>0.35346699999999998</v>
      </c>
      <c r="I64" s="110"/>
      <c r="J64" s="257">
        <f t="shared" si="3"/>
        <v>0</v>
      </c>
    </row>
    <row r="65" spans="2:10" ht="48" x14ac:dyDescent="0.2">
      <c r="B65" s="376">
        <v>37</v>
      </c>
      <c r="C65" s="377" t="s">
        <v>154</v>
      </c>
      <c r="D65" s="387" t="s">
        <v>372</v>
      </c>
      <c r="E65" s="116">
        <v>1.46763</v>
      </c>
      <c r="F65" s="117">
        <f t="shared" si="2"/>
        <v>1.46763</v>
      </c>
      <c r="G65" s="117">
        <v>0</v>
      </c>
      <c r="H65" s="118">
        <v>1.46763</v>
      </c>
      <c r="I65" s="110"/>
      <c r="J65" s="257">
        <f t="shared" si="3"/>
        <v>0</v>
      </c>
    </row>
    <row r="66" spans="2:10" ht="48" x14ac:dyDescent="0.2">
      <c r="B66" s="376">
        <v>38</v>
      </c>
      <c r="C66" s="377" t="s">
        <v>155</v>
      </c>
      <c r="D66" s="387" t="s">
        <v>373</v>
      </c>
      <c r="E66" s="116">
        <v>0.76837299999999997</v>
      </c>
      <c r="F66" s="117">
        <f t="shared" si="2"/>
        <v>0</v>
      </c>
      <c r="G66" s="117">
        <v>0</v>
      </c>
      <c r="H66" s="118">
        <v>0</v>
      </c>
      <c r="I66" s="110"/>
      <c r="J66" s="257">
        <f t="shared" si="3"/>
        <v>0</v>
      </c>
    </row>
    <row r="67" spans="2:10" ht="36" x14ac:dyDescent="0.2">
      <c r="B67" s="376">
        <v>39</v>
      </c>
      <c r="C67" s="377" t="s">
        <v>157</v>
      </c>
      <c r="D67" s="387" t="s">
        <v>374</v>
      </c>
      <c r="E67" s="116">
        <f>+(1244.2+3.82+7.98+0.03)/696047.51*100</f>
        <v>0.1804517625528177</v>
      </c>
      <c r="F67" s="117">
        <f t="shared" si="2"/>
        <v>0</v>
      </c>
      <c r="G67" s="117">
        <v>0</v>
      </c>
      <c r="H67" s="118">
        <v>0</v>
      </c>
      <c r="I67" s="110"/>
      <c r="J67" s="257">
        <f t="shared" si="3"/>
        <v>0</v>
      </c>
    </row>
    <row r="68" spans="2:10" ht="36" x14ac:dyDescent="0.2">
      <c r="B68" s="376">
        <v>40</v>
      </c>
      <c r="C68" s="377" t="s">
        <v>158</v>
      </c>
      <c r="D68" s="387" t="s">
        <v>375</v>
      </c>
      <c r="E68" s="116">
        <f>+(465.81+2.15+2.7)/696047.51*100</f>
        <v>6.7618947447998193E-2</v>
      </c>
      <c r="F68" s="117">
        <f t="shared" si="2"/>
        <v>0</v>
      </c>
      <c r="G68" s="117">
        <v>0</v>
      </c>
      <c r="H68" s="118">
        <v>0</v>
      </c>
      <c r="I68" s="110"/>
      <c r="J68" s="257">
        <f t="shared" si="3"/>
        <v>0</v>
      </c>
    </row>
    <row r="69" spans="2:10" ht="24" x14ac:dyDescent="0.2">
      <c r="B69" s="376">
        <v>41</v>
      </c>
      <c r="C69" s="377" t="s">
        <v>307</v>
      </c>
      <c r="D69" s="387" t="s">
        <v>376</v>
      </c>
      <c r="E69" s="116">
        <v>0.49921900000000002</v>
      </c>
      <c r="F69" s="117">
        <f t="shared" si="2"/>
        <v>0</v>
      </c>
      <c r="G69" s="117">
        <v>0</v>
      </c>
      <c r="H69" s="118">
        <v>0</v>
      </c>
      <c r="I69" s="110"/>
      <c r="J69" s="257">
        <f t="shared" si="3"/>
        <v>0</v>
      </c>
    </row>
    <row r="70" spans="2:10" ht="26.25" customHeight="1" x14ac:dyDescent="0.2">
      <c r="B70" s="376">
        <v>42</v>
      </c>
      <c r="C70" s="377" t="s">
        <v>159</v>
      </c>
      <c r="D70" s="387" t="s">
        <v>377</v>
      </c>
      <c r="E70" s="116">
        <v>9.5507999999999996E-2</v>
      </c>
      <c r="F70" s="117">
        <f t="shared" si="2"/>
        <v>0</v>
      </c>
      <c r="G70" s="117">
        <v>0</v>
      </c>
      <c r="H70" s="118">
        <v>0</v>
      </c>
      <c r="I70" s="110"/>
      <c r="J70" s="257">
        <f t="shared" si="3"/>
        <v>0</v>
      </c>
    </row>
    <row r="71" spans="2:10" ht="24" x14ac:dyDescent="0.2">
      <c r="B71" s="376">
        <v>43</v>
      </c>
      <c r="C71" s="377" t="s">
        <v>308</v>
      </c>
      <c r="D71" s="387" t="s">
        <v>378</v>
      </c>
      <c r="E71" s="116">
        <v>0.21490200000000001</v>
      </c>
      <c r="F71" s="117">
        <f t="shared" si="2"/>
        <v>0.21490200000000001</v>
      </c>
      <c r="G71" s="117">
        <v>0</v>
      </c>
      <c r="H71" s="118">
        <v>0.21490200000000001</v>
      </c>
      <c r="I71" s="110"/>
      <c r="J71" s="257">
        <f t="shared" si="3"/>
        <v>0</v>
      </c>
    </row>
    <row r="72" spans="2:10" ht="24" x14ac:dyDescent="0.2">
      <c r="B72" s="376">
        <v>44</v>
      </c>
      <c r="C72" s="377" t="s">
        <v>309</v>
      </c>
      <c r="D72" s="387" t="s">
        <v>379</v>
      </c>
      <c r="E72" s="116">
        <v>0.185312</v>
      </c>
      <c r="F72" s="117">
        <f t="shared" si="2"/>
        <v>0</v>
      </c>
      <c r="G72" s="117">
        <v>0</v>
      </c>
      <c r="H72" s="118">
        <v>0</v>
      </c>
      <c r="I72" s="110"/>
      <c r="J72" s="257">
        <f t="shared" si="3"/>
        <v>0</v>
      </c>
    </row>
    <row r="73" spans="2:10" ht="29.25" customHeight="1" x14ac:dyDescent="0.2">
      <c r="B73" s="376">
        <v>45</v>
      </c>
      <c r="C73" s="377" t="s">
        <v>161</v>
      </c>
      <c r="D73" s="387" t="s">
        <v>380</v>
      </c>
      <c r="E73" s="116">
        <v>0.99854799999999999</v>
      </c>
      <c r="F73" s="117">
        <f t="shared" si="2"/>
        <v>0</v>
      </c>
      <c r="G73" s="117">
        <v>0</v>
      </c>
      <c r="H73" s="118">
        <v>0</v>
      </c>
      <c r="I73" s="110"/>
      <c r="J73" s="257">
        <f t="shared" si="3"/>
        <v>0</v>
      </c>
    </row>
    <row r="74" spans="2:10" x14ac:dyDescent="0.2">
      <c r="B74" s="376">
        <v>46</v>
      </c>
      <c r="C74" s="377" t="s">
        <v>162</v>
      </c>
      <c r="D74" s="386" t="s">
        <v>310</v>
      </c>
      <c r="E74" s="116">
        <v>3.2843819999999999</v>
      </c>
      <c r="F74" s="117">
        <f t="shared" si="2"/>
        <v>3.2843819999999999</v>
      </c>
      <c r="G74" s="117">
        <v>0.82109600000000005</v>
      </c>
      <c r="H74" s="118">
        <v>2.4632860000000001</v>
      </c>
      <c r="I74" s="110"/>
      <c r="J74" s="257">
        <f t="shared" si="3"/>
        <v>0</v>
      </c>
    </row>
    <row r="75" spans="2:10" x14ac:dyDescent="0.2">
      <c r="B75" s="376">
        <v>47</v>
      </c>
      <c r="C75" s="377" t="s">
        <v>163</v>
      </c>
      <c r="D75" s="386" t="s">
        <v>311</v>
      </c>
      <c r="E75" s="116">
        <v>1.0248550000000001</v>
      </c>
      <c r="F75" s="117">
        <f t="shared" si="2"/>
        <v>1.0248550000000001</v>
      </c>
      <c r="G75" s="117">
        <v>0</v>
      </c>
      <c r="H75" s="118">
        <v>1.0248550000000001</v>
      </c>
      <c r="I75" s="110"/>
      <c r="J75" s="257">
        <f t="shared" si="3"/>
        <v>0</v>
      </c>
    </row>
    <row r="76" spans="2:10" x14ac:dyDescent="0.2">
      <c r="B76" s="376">
        <v>48</v>
      </c>
      <c r="C76" s="377" t="s">
        <v>164</v>
      </c>
      <c r="D76" s="386" t="s">
        <v>312</v>
      </c>
      <c r="E76" s="116">
        <v>1.4748349999999999</v>
      </c>
      <c r="F76" s="117">
        <f t="shared" si="2"/>
        <v>0</v>
      </c>
      <c r="G76" s="117">
        <v>0</v>
      </c>
      <c r="H76" s="118">
        <v>0</v>
      </c>
      <c r="I76" s="110"/>
      <c r="J76" s="257">
        <f t="shared" si="3"/>
        <v>0</v>
      </c>
    </row>
    <row r="77" spans="2:10" x14ac:dyDescent="0.2">
      <c r="B77" s="376">
        <v>49</v>
      </c>
      <c r="C77" s="377" t="s">
        <v>166</v>
      </c>
      <c r="D77" s="386" t="s">
        <v>313</v>
      </c>
      <c r="E77" s="116">
        <v>0.66675899999999999</v>
      </c>
      <c r="F77" s="117">
        <f t="shared" si="2"/>
        <v>6.6675999999999999E-2</v>
      </c>
      <c r="G77" s="117">
        <v>0</v>
      </c>
      <c r="H77" s="118">
        <v>6.6675999999999999E-2</v>
      </c>
      <c r="I77" s="110"/>
      <c r="J77" s="257">
        <f t="shared" si="3"/>
        <v>0</v>
      </c>
    </row>
    <row r="78" spans="2:10" x14ac:dyDescent="0.2">
      <c r="B78" s="376">
        <v>50</v>
      </c>
      <c r="C78" s="377" t="s">
        <v>167</v>
      </c>
      <c r="D78" s="386" t="s">
        <v>314</v>
      </c>
      <c r="E78" s="116">
        <v>0.94985900000000001</v>
      </c>
      <c r="F78" s="117">
        <f t="shared" si="2"/>
        <v>0</v>
      </c>
      <c r="G78" s="117">
        <v>0</v>
      </c>
      <c r="H78" s="118">
        <v>0</v>
      </c>
      <c r="I78" s="110"/>
      <c r="J78" s="257">
        <f t="shared" si="3"/>
        <v>0</v>
      </c>
    </row>
    <row r="79" spans="2:10" ht="29.25" customHeight="1" x14ac:dyDescent="0.2">
      <c r="B79" s="376">
        <v>51</v>
      </c>
      <c r="C79" s="378">
        <v>28062</v>
      </c>
      <c r="D79" s="387" t="s">
        <v>381</v>
      </c>
      <c r="E79" s="116">
        <v>7.9649999999999999E-3</v>
      </c>
      <c r="F79" s="117">
        <f t="shared" si="2"/>
        <v>0</v>
      </c>
      <c r="G79" s="117">
        <v>0</v>
      </c>
      <c r="H79" s="118">
        <v>0</v>
      </c>
      <c r="I79" s="110"/>
      <c r="J79" s="257">
        <f t="shared" si="3"/>
        <v>0</v>
      </c>
    </row>
    <row r="80" spans="2:10" ht="36.75" customHeight="1" x14ac:dyDescent="0.2">
      <c r="B80" s="376">
        <v>52</v>
      </c>
      <c r="C80" s="378">
        <v>28097</v>
      </c>
      <c r="D80" s="387" t="s">
        <v>382</v>
      </c>
      <c r="E80" s="116">
        <v>0.73942200000000002</v>
      </c>
      <c r="F80" s="117">
        <f t="shared" si="2"/>
        <v>0</v>
      </c>
      <c r="G80" s="117">
        <v>0</v>
      </c>
      <c r="H80" s="118">
        <v>0</v>
      </c>
      <c r="I80" s="110"/>
      <c r="J80" s="257">
        <f t="shared" si="3"/>
        <v>0</v>
      </c>
    </row>
    <row r="81" spans="2:10" ht="24" x14ac:dyDescent="0.2">
      <c r="B81" s="376">
        <v>53</v>
      </c>
      <c r="C81" s="377" t="s">
        <v>168</v>
      </c>
      <c r="D81" s="387" t="s">
        <v>383</v>
      </c>
      <c r="E81" s="116">
        <v>0.26549899999999999</v>
      </c>
      <c r="F81" s="117">
        <f t="shared" si="2"/>
        <v>0</v>
      </c>
      <c r="G81" s="117">
        <v>0</v>
      </c>
      <c r="H81" s="118">
        <v>0</v>
      </c>
      <c r="I81" s="110"/>
      <c r="J81" s="257">
        <f t="shared" si="3"/>
        <v>0</v>
      </c>
    </row>
    <row r="82" spans="2:10" x14ac:dyDescent="0.2">
      <c r="B82" s="376">
        <v>54</v>
      </c>
      <c r="C82" s="377" t="s">
        <v>169</v>
      </c>
      <c r="D82" s="386" t="s">
        <v>315</v>
      </c>
      <c r="E82" s="116">
        <v>7.3210999999999998E-2</v>
      </c>
      <c r="F82" s="117">
        <f t="shared" si="2"/>
        <v>0</v>
      </c>
      <c r="G82" s="117">
        <v>0</v>
      </c>
      <c r="H82" s="118">
        <v>0</v>
      </c>
      <c r="I82" s="110"/>
      <c r="J82" s="257">
        <f t="shared" si="3"/>
        <v>0</v>
      </c>
    </row>
    <row r="83" spans="2:10" x14ac:dyDescent="0.2">
      <c r="B83" s="376">
        <v>55</v>
      </c>
      <c r="C83" s="377" t="s">
        <v>170</v>
      </c>
      <c r="D83" s="386" t="s">
        <v>316</v>
      </c>
      <c r="E83" s="116">
        <v>4.0432999999999997E-2</v>
      </c>
      <c r="F83" s="117">
        <f t="shared" si="2"/>
        <v>0</v>
      </c>
      <c r="G83" s="117">
        <v>0</v>
      </c>
      <c r="H83" s="118">
        <v>0</v>
      </c>
      <c r="I83" s="110"/>
      <c r="J83" s="257">
        <f t="shared" si="3"/>
        <v>0</v>
      </c>
    </row>
    <row r="84" spans="2:10" x14ac:dyDescent="0.2">
      <c r="B84" s="376">
        <v>56</v>
      </c>
      <c r="C84" s="377" t="s">
        <v>171</v>
      </c>
      <c r="D84" s="386" t="s">
        <v>316</v>
      </c>
      <c r="E84" s="116">
        <v>4.6496999999999997E-2</v>
      </c>
      <c r="F84" s="117">
        <f t="shared" si="2"/>
        <v>0</v>
      </c>
      <c r="G84" s="117">
        <v>0</v>
      </c>
      <c r="H84" s="118">
        <v>0</v>
      </c>
      <c r="I84" s="110"/>
      <c r="J84" s="257">
        <f t="shared" si="3"/>
        <v>0</v>
      </c>
    </row>
    <row r="85" spans="2:10" ht="24" x14ac:dyDescent="0.2">
      <c r="B85" s="376">
        <v>57</v>
      </c>
      <c r="C85" s="377" t="s">
        <v>172</v>
      </c>
      <c r="D85" s="387" t="s">
        <v>384</v>
      </c>
      <c r="E85" s="116">
        <v>0.29063099999999997</v>
      </c>
      <c r="F85" s="117">
        <f t="shared" si="2"/>
        <v>0</v>
      </c>
      <c r="G85" s="117">
        <v>0</v>
      </c>
      <c r="H85" s="118">
        <v>0</v>
      </c>
      <c r="I85" s="110"/>
      <c r="J85" s="257">
        <f t="shared" si="3"/>
        <v>0</v>
      </c>
    </row>
    <row r="86" spans="2:10" ht="24" x14ac:dyDescent="0.2">
      <c r="B86" s="376">
        <v>58</v>
      </c>
      <c r="C86" s="377" t="s">
        <v>173</v>
      </c>
      <c r="D86" s="387" t="s">
        <v>385</v>
      </c>
      <c r="E86" s="116">
        <v>0.15682599999999999</v>
      </c>
      <c r="F86" s="117">
        <f t="shared" si="2"/>
        <v>0</v>
      </c>
      <c r="G86" s="117">
        <v>0</v>
      </c>
      <c r="H86" s="118">
        <v>0</v>
      </c>
      <c r="I86" s="110"/>
      <c r="J86" s="257">
        <f t="shared" si="3"/>
        <v>0</v>
      </c>
    </row>
    <row r="87" spans="2:10" x14ac:dyDescent="0.2">
      <c r="B87" s="376">
        <v>59</v>
      </c>
      <c r="C87" s="377" t="s">
        <v>317</v>
      </c>
      <c r="D87" s="386" t="s">
        <v>318</v>
      </c>
      <c r="E87" s="116">
        <v>1.0793010000000001</v>
      </c>
      <c r="F87" s="117">
        <f t="shared" si="2"/>
        <v>1.0793010000000001</v>
      </c>
      <c r="G87" s="117">
        <v>0</v>
      </c>
      <c r="H87" s="118">
        <v>1.0793010000000001</v>
      </c>
      <c r="I87" s="110"/>
      <c r="J87" s="257">
        <f t="shared" si="3"/>
        <v>0</v>
      </c>
    </row>
    <row r="88" spans="2:10" ht="24" x14ac:dyDescent="0.2">
      <c r="B88" s="376">
        <v>60</v>
      </c>
      <c r="C88" s="377" t="s">
        <v>319</v>
      </c>
      <c r="D88" s="387" t="s">
        <v>386</v>
      </c>
      <c r="E88" s="116">
        <v>0.25977699999999998</v>
      </c>
      <c r="F88" s="117">
        <f t="shared" si="2"/>
        <v>0</v>
      </c>
      <c r="G88" s="117">
        <v>0</v>
      </c>
      <c r="H88" s="118">
        <v>0</v>
      </c>
      <c r="I88" s="110"/>
      <c r="J88" s="257">
        <f t="shared" si="3"/>
        <v>0</v>
      </c>
    </row>
    <row r="89" spans="2:10" x14ac:dyDescent="0.2">
      <c r="B89" s="376">
        <v>61</v>
      </c>
      <c r="C89" s="377" t="s">
        <v>320</v>
      </c>
      <c r="D89" s="386" t="s">
        <v>321</v>
      </c>
      <c r="E89" s="116">
        <v>0.663748</v>
      </c>
      <c r="F89" s="117">
        <f t="shared" si="2"/>
        <v>0</v>
      </c>
      <c r="G89" s="117">
        <v>0</v>
      </c>
      <c r="H89" s="118">
        <v>0</v>
      </c>
      <c r="I89" s="110"/>
      <c r="J89" s="257">
        <f t="shared" si="3"/>
        <v>0</v>
      </c>
    </row>
    <row r="90" spans="2:10" x14ac:dyDescent="0.2">
      <c r="B90" s="376">
        <v>62</v>
      </c>
      <c r="C90" s="377" t="s">
        <v>322</v>
      </c>
      <c r="D90" s="386" t="s">
        <v>323</v>
      </c>
      <c r="E90" s="116">
        <v>0.50119599999999997</v>
      </c>
      <c r="F90" s="117">
        <f t="shared" si="2"/>
        <v>0</v>
      </c>
      <c r="G90" s="117">
        <v>0</v>
      </c>
      <c r="H90" s="118">
        <v>0</v>
      </c>
      <c r="I90" s="110"/>
      <c r="J90" s="257">
        <f t="shared" si="3"/>
        <v>0</v>
      </c>
    </row>
    <row r="91" spans="2:10" x14ac:dyDescent="0.2">
      <c r="B91" s="376">
        <v>63</v>
      </c>
      <c r="C91" s="377" t="s">
        <v>324</v>
      </c>
      <c r="D91" s="386" t="s">
        <v>325</v>
      </c>
      <c r="E91" s="116">
        <v>0.793049</v>
      </c>
      <c r="F91" s="117">
        <f t="shared" si="2"/>
        <v>0</v>
      </c>
      <c r="G91" s="117">
        <v>0</v>
      </c>
      <c r="H91" s="118">
        <v>0</v>
      </c>
      <c r="I91" s="110"/>
      <c r="J91" s="257">
        <f t="shared" si="3"/>
        <v>0</v>
      </c>
    </row>
    <row r="92" spans="2:10" x14ac:dyDescent="0.2">
      <c r="B92" s="90"/>
      <c r="C92" s="384"/>
      <c r="D92" s="385" t="s">
        <v>195</v>
      </c>
      <c r="E92" s="119">
        <f>(SUM(E29:E91)-53.8707)*-1</f>
        <v>-1.7343999374475061E-6</v>
      </c>
      <c r="F92" s="117">
        <f t="shared" si="2"/>
        <v>0</v>
      </c>
      <c r="G92" s="117">
        <v>0</v>
      </c>
      <c r="H92" s="118">
        <v>0</v>
      </c>
      <c r="I92" s="110"/>
      <c r="J92" s="257">
        <f t="shared" si="3"/>
        <v>0</v>
      </c>
    </row>
    <row r="93" spans="2:10" ht="15.75" thickBot="1" x14ac:dyDescent="0.25">
      <c r="B93" s="661" t="s">
        <v>12</v>
      </c>
      <c r="C93" s="662"/>
      <c r="D93" s="663"/>
      <c r="E93" s="102">
        <f>+SUM(E29:E92)</f>
        <v>53.870699999999999</v>
      </c>
      <c r="F93" s="102">
        <f>SUM(F29:F92)</f>
        <v>53.870699999999999</v>
      </c>
      <c r="G93" s="102">
        <f>SUM(G29:G92)</f>
        <v>53.870699999999999</v>
      </c>
      <c r="H93" s="103">
        <f>SUM(H29:H92)</f>
        <v>0</v>
      </c>
      <c r="I93" s="110"/>
      <c r="J93" s="258"/>
    </row>
    <row r="94" spans="2:10" ht="15" x14ac:dyDescent="0.2">
      <c r="B94" s="76" t="s">
        <v>64</v>
      </c>
      <c r="C94" s="369"/>
      <c r="D94" s="52"/>
      <c r="E94" s="58"/>
      <c r="F94" s="57"/>
      <c r="G94" s="52"/>
      <c r="H94" s="57"/>
      <c r="J94" s="260"/>
    </row>
    <row r="95" spans="2:10" ht="15" x14ac:dyDescent="0.2">
      <c r="B95" s="76"/>
      <c r="C95" s="369"/>
      <c r="D95" s="52"/>
      <c r="F95" s="57"/>
      <c r="G95" s="52"/>
      <c r="H95" s="57"/>
      <c r="J95" s="258"/>
    </row>
    <row r="96" spans="2:10" ht="15.75" x14ac:dyDescent="0.2">
      <c r="C96" s="646" t="s">
        <v>119</v>
      </c>
      <c r="D96" s="646"/>
      <c r="E96" s="647" t="s">
        <v>205</v>
      </c>
      <c r="F96" s="647"/>
      <c r="G96" s="647"/>
      <c r="H96" s="647"/>
      <c r="J96" s="258"/>
    </row>
    <row r="97" spans="2:10" x14ac:dyDescent="0.2">
      <c r="C97" s="648" t="str">
        <f>+C21</f>
        <v>Özbulut Yapı Taah.İnş.Gıda San.ve Tic.Ltd.Şti.</v>
      </c>
      <c r="D97" s="648"/>
      <c r="E97" s="649"/>
      <c r="F97" s="650"/>
      <c r="G97" s="648" t="s">
        <v>292</v>
      </c>
      <c r="H97" s="648"/>
      <c r="J97" s="258"/>
    </row>
    <row r="98" spans="2:10" ht="13.5" thickBot="1" x14ac:dyDescent="0.25">
      <c r="C98" s="648"/>
      <c r="D98" s="648"/>
      <c r="E98" s="650"/>
      <c r="F98" s="650"/>
      <c r="G98" s="648" t="str">
        <f>+G22</f>
        <v xml:space="preserve">  İnş.Müh.</v>
      </c>
      <c r="H98" s="648"/>
      <c r="J98" s="258"/>
    </row>
    <row r="99" spans="2:10" ht="35.25" customHeight="1" thickBot="1" x14ac:dyDescent="0.3">
      <c r="B99" s="651" t="s">
        <v>116</v>
      </c>
      <c r="C99" s="652"/>
      <c r="D99" s="652"/>
      <c r="E99" s="652"/>
      <c r="F99" s="652"/>
      <c r="G99" s="652"/>
      <c r="H99" s="653"/>
      <c r="J99" s="258"/>
    </row>
    <row r="100" spans="2:10" ht="16.5" thickBot="1" x14ac:dyDescent="0.25">
      <c r="B100" s="654" t="str">
        <f>+B2</f>
        <v xml:space="preserve">Araklı Çankaya Yibo Lojman İnşaatı İşi </v>
      </c>
      <c r="C100" s="655"/>
      <c r="D100" s="655"/>
      <c r="E100" s="655"/>
      <c r="F100" s="655"/>
      <c r="G100" s="655"/>
      <c r="H100" s="656"/>
      <c r="J100" s="258"/>
    </row>
    <row r="101" spans="2:10" ht="16.5" thickBot="1" x14ac:dyDescent="0.25">
      <c r="B101" s="654"/>
      <c r="C101" s="655"/>
      <c r="D101" s="655"/>
      <c r="E101" s="655"/>
      <c r="F101" s="657"/>
      <c r="G101" s="101" t="s">
        <v>197</v>
      </c>
      <c r="H101" s="88">
        <v>1</v>
      </c>
      <c r="J101" s="258"/>
    </row>
    <row r="102" spans="2:10" ht="22.5" customHeight="1" thickBot="1" x14ac:dyDescent="0.3">
      <c r="B102" s="658" t="s">
        <v>766</v>
      </c>
      <c r="C102" s="659"/>
      <c r="D102" s="659"/>
      <c r="E102" s="659"/>
      <c r="F102" s="660"/>
      <c r="G102" s="107" t="s">
        <v>198</v>
      </c>
      <c r="H102" s="108" t="str">
        <f>+'ÖN BİLGİ'!F6</f>
        <v>5(Beş)</v>
      </c>
      <c r="J102" s="258"/>
    </row>
    <row r="103" spans="2:10" ht="42.75" x14ac:dyDescent="0.2">
      <c r="B103" s="104" t="s">
        <v>15</v>
      </c>
      <c r="C103" s="370" t="s">
        <v>17</v>
      </c>
      <c r="D103" s="105" t="s">
        <v>16</v>
      </c>
      <c r="E103" s="109" t="s">
        <v>124</v>
      </c>
      <c r="F103" s="105" t="s">
        <v>125</v>
      </c>
      <c r="G103" s="105" t="s">
        <v>126</v>
      </c>
      <c r="H103" s="106" t="s">
        <v>127</v>
      </c>
      <c r="J103" s="258"/>
    </row>
    <row r="104" spans="2:10" ht="42.75" customHeight="1" x14ac:dyDescent="0.2">
      <c r="B104" s="376">
        <v>1</v>
      </c>
      <c r="C104" s="377" t="s">
        <v>174</v>
      </c>
      <c r="D104" s="387" t="s">
        <v>388</v>
      </c>
      <c r="E104" s="346">
        <v>0.19969899999999999</v>
      </c>
      <c r="F104" s="346">
        <f>+G104+H104</f>
        <v>0.19969899999999999</v>
      </c>
      <c r="G104" s="99">
        <v>0.19969899999999999</v>
      </c>
      <c r="H104" s="96">
        <v>0</v>
      </c>
      <c r="I104" s="112"/>
      <c r="J104" s="382">
        <f>E104-F104</f>
        <v>0</v>
      </c>
    </row>
    <row r="105" spans="2:10" ht="48" x14ac:dyDescent="0.2">
      <c r="B105" s="376">
        <v>2</v>
      </c>
      <c r="C105" s="377" t="s">
        <v>175</v>
      </c>
      <c r="D105" s="387" t="s">
        <v>337</v>
      </c>
      <c r="E105" s="346">
        <v>0.12192600000000001</v>
      </c>
      <c r="F105" s="346">
        <f t="shared" ref="F105:F133" si="4">+G105+H105</f>
        <v>0.12192600000000001</v>
      </c>
      <c r="G105" s="99">
        <v>0.12192600000000001</v>
      </c>
      <c r="H105" s="96">
        <v>0</v>
      </c>
      <c r="I105" s="112"/>
      <c r="J105" s="382">
        <f t="shared" ref="J105:J133" si="5">E105-F105</f>
        <v>0</v>
      </c>
    </row>
    <row r="106" spans="2:10" ht="60" x14ac:dyDescent="0.2">
      <c r="B106" s="376">
        <v>3</v>
      </c>
      <c r="C106" s="377" t="s">
        <v>176</v>
      </c>
      <c r="D106" s="387" t="s">
        <v>389</v>
      </c>
      <c r="E106" s="346">
        <v>7.5015999999999999E-2</v>
      </c>
      <c r="F106" s="346">
        <f t="shared" si="4"/>
        <v>7.5015999999999999E-2</v>
      </c>
      <c r="G106" s="99">
        <v>7.5015999999999999E-2</v>
      </c>
      <c r="H106" s="96">
        <v>0</v>
      </c>
      <c r="I106" s="112"/>
      <c r="J106" s="382">
        <f t="shared" si="5"/>
        <v>0</v>
      </c>
    </row>
    <row r="107" spans="2:10" ht="36" x14ac:dyDescent="0.2">
      <c r="B107" s="376">
        <v>4</v>
      </c>
      <c r="C107" s="377" t="s">
        <v>295</v>
      </c>
      <c r="D107" s="387" t="s">
        <v>339</v>
      </c>
      <c r="E107" s="346">
        <v>0.184558</v>
      </c>
      <c r="F107" s="346">
        <f t="shared" si="4"/>
        <v>0.184558</v>
      </c>
      <c r="G107" s="99">
        <v>0.184558</v>
      </c>
      <c r="H107" s="96">
        <v>0</v>
      </c>
      <c r="I107" s="112"/>
      <c r="J107" s="382">
        <f t="shared" si="5"/>
        <v>0</v>
      </c>
    </row>
    <row r="108" spans="2:10" x14ac:dyDescent="0.2">
      <c r="B108" s="376">
        <v>5</v>
      </c>
      <c r="C108" s="377" t="s">
        <v>128</v>
      </c>
      <c r="D108" s="386" t="s">
        <v>296</v>
      </c>
      <c r="E108" s="346">
        <v>6.3738000000000003E-2</v>
      </c>
      <c r="F108" s="346">
        <f t="shared" si="4"/>
        <v>0</v>
      </c>
      <c r="G108" s="99">
        <v>0</v>
      </c>
      <c r="H108" s="96">
        <v>0</v>
      </c>
      <c r="I108" s="112"/>
      <c r="J108" s="382">
        <f t="shared" si="5"/>
        <v>0</v>
      </c>
    </row>
    <row r="109" spans="2:10" ht="24" x14ac:dyDescent="0.2">
      <c r="B109" s="376">
        <v>6</v>
      </c>
      <c r="C109" s="377" t="s">
        <v>130</v>
      </c>
      <c r="D109" s="387" t="s">
        <v>390</v>
      </c>
      <c r="E109" s="346">
        <v>0.106516</v>
      </c>
      <c r="F109" s="346">
        <f t="shared" si="4"/>
        <v>9.5865000000000006E-2</v>
      </c>
      <c r="G109" s="99">
        <v>0</v>
      </c>
      <c r="H109" s="96">
        <v>9.5865000000000006E-2</v>
      </c>
      <c r="I109" s="112"/>
      <c r="J109" s="382">
        <f t="shared" si="5"/>
        <v>0</v>
      </c>
    </row>
    <row r="110" spans="2:10" ht="24" x14ac:dyDescent="0.2">
      <c r="B110" s="376">
        <v>7</v>
      </c>
      <c r="C110" s="377" t="s">
        <v>131</v>
      </c>
      <c r="D110" s="387" t="s">
        <v>391</v>
      </c>
      <c r="E110" s="346">
        <v>1.442018</v>
      </c>
      <c r="F110" s="346">
        <f t="shared" si="4"/>
        <v>1.299328</v>
      </c>
      <c r="G110" s="99">
        <v>1.299328</v>
      </c>
      <c r="H110" s="96">
        <v>0</v>
      </c>
      <c r="I110" s="112"/>
      <c r="J110" s="382">
        <f t="shared" si="5"/>
        <v>0</v>
      </c>
    </row>
    <row r="111" spans="2:10" ht="36" x14ac:dyDescent="0.2">
      <c r="B111" s="376">
        <v>8</v>
      </c>
      <c r="C111" s="377" t="s">
        <v>132</v>
      </c>
      <c r="D111" s="387" t="s">
        <v>341</v>
      </c>
      <c r="E111" s="346">
        <v>0.39389400000000002</v>
      </c>
      <c r="F111" s="346">
        <f t="shared" si="4"/>
        <v>0.35450500000000001</v>
      </c>
      <c r="G111" s="99">
        <v>0</v>
      </c>
      <c r="H111" s="96">
        <v>0.35450500000000001</v>
      </c>
      <c r="I111" s="112"/>
      <c r="J111" s="382">
        <f t="shared" si="5"/>
        <v>0</v>
      </c>
    </row>
    <row r="112" spans="2:10" ht="22.5" x14ac:dyDescent="0.2">
      <c r="B112" s="376">
        <v>9</v>
      </c>
      <c r="C112" s="377" t="s">
        <v>326</v>
      </c>
      <c r="D112" s="386" t="s">
        <v>209</v>
      </c>
      <c r="E112" s="346">
        <v>11.119196000000001</v>
      </c>
      <c r="F112" s="346">
        <f t="shared" si="4"/>
        <v>10.00728</v>
      </c>
      <c r="G112" s="99">
        <v>10.00728</v>
      </c>
      <c r="H112" s="96">
        <v>0</v>
      </c>
      <c r="I112" s="112"/>
      <c r="J112" s="382">
        <f t="shared" si="5"/>
        <v>0</v>
      </c>
    </row>
    <row r="113" spans="2:10" x14ac:dyDescent="0.2">
      <c r="B113" s="376">
        <v>10</v>
      </c>
      <c r="C113" s="378">
        <v>17084</v>
      </c>
      <c r="D113" s="386" t="s">
        <v>327</v>
      </c>
      <c r="E113" s="346">
        <v>8.9940999999999993E-2</v>
      </c>
      <c r="F113" s="346">
        <f t="shared" si="4"/>
        <v>7.7701999999999993E-2</v>
      </c>
      <c r="G113" s="99">
        <v>7.7701999999999993E-2</v>
      </c>
      <c r="H113" s="96">
        <v>0</v>
      </c>
      <c r="I113" s="112"/>
      <c r="J113" s="382">
        <f t="shared" si="5"/>
        <v>0</v>
      </c>
    </row>
    <row r="114" spans="2:10" x14ac:dyDescent="0.2">
      <c r="B114" s="376">
        <v>11</v>
      </c>
      <c r="C114" s="378">
        <v>17136</v>
      </c>
      <c r="D114" s="386" t="s">
        <v>328</v>
      </c>
      <c r="E114" s="346">
        <v>1.4943E-2</v>
      </c>
      <c r="F114" s="346">
        <f t="shared" si="4"/>
        <v>1.299E-2</v>
      </c>
      <c r="G114" s="99">
        <v>1.299E-2</v>
      </c>
      <c r="H114" s="96">
        <v>0</v>
      </c>
      <c r="I114" s="112"/>
      <c r="J114" s="382">
        <f t="shared" si="5"/>
        <v>0</v>
      </c>
    </row>
    <row r="115" spans="2:10" ht="27" customHeight="1" x14ac:dyDescent="0.2">
      <c r="B115" s="376">
        <v>12</v>
      </c>
      <c r="C115" s="377" t="s">
        <v>133</v>
      </c>
      <c r="D115" s="387" t="s">
        <v>392</v>
      </c>
      <c r="E115" s="346">
        <v>2.782721</v>
      </c>
      <c r="F115" s="346">
        <f t="shared" si="4"/>
        <v>0</v>
      </c>
      <c r="G115" s="99">
        <v>0</v>
      </c>
      <c r="H115" s="96">
        <v>0</v>
      </c>
      <c r="I115" s="112"/>
      <c r="J115" s="382">
        <f t="shared" si="5"/>
        <v>0</v>
      </c>
    </row>
    <row r="116" spans="2:10" x14ac:dyDescent="0.2">
      <c r="B116" s="376">
        <v>13</v>
      </c>
      <c r="C116" s="377" t="s">
        <v>137</v>
      </c>
      <c r="D116" s="386" t="s">
        <v>329</v>
      </c>
      <c r="E116" s="346">
        <v>4.3611999999999998E-2</v>
      </c>
      <c r="F116" s="346">
        <f t="shared" si="4"/>
        <v>4.3611999999999998E-2</v>
      </c>
      <c r="G116" s="99">
        <v>4.3611999999999998E-2</v>
      </c>
      <c r="H116" s="96">
        <v>0</v>
      </c>
      <c r="I116" s="112"/>
      <c r="J116" s="382">
        <f t="shared" si="5"/>
        <v>0</v>
      </c>
    </row>
    <row r="117" spans="2:10" x14ac:dyDescent="0.2">
      <c r="B117" s="376">
        <v>14</v>
      </c>
      <c r="C117" s="377" t="s">
        <v>138</v>
      </c>
      <c r="D117" s="386" t="s">
        <v>330</v>
      </c>
      <c r="E117" s="346">
        <v>2.287947</v>
      </c>
      <c r="F117" s="346">
        <f t="shared" si="4"/>
        <v>2.287947</v>
      </c>
      <c r="G117" s="99">
        <v>2.287947</v>
      </c>
      <c r="H117" s="96">
        <v>0</v>
      </c>
      <c r="I117" s="112"/>
      <c r="J117" s="382">
        <f t="shared" si="5"/>
        <v>0</v>
      </c>
    </row>
    <row r="118" spans="2:10" ht="39" customHeight="1" x14ac:dyDescent="0.2">
      <c r="B118" s="376">
        <v>15</v>
      </c>
      <c r="C118" s="377" t="s">
        <v>141</v>
      </c>
      <c r="D118" s="387" t="s">
        <v>393</v>
      </c>
      <c r="E118" s="346">
        <v>0.19323399999999999</v>
      </c>
      <c r="F118" s="346">
        <f t="shared" si="4"/>
        <v>0</v>
      </c>
      <c r="G118" s="99">
        <v>0</v>
      </c>
      <c r="H118" s="96">
        <v>0</v>
      </c>
      <c r="I118" s="112"/>
      <c r="J118" s="382">
        <f t="shared" si="5"/>
        <v>0</v>
      </c>
    </row>
    <row r="119" spans="2:10" ht="27" customHeight="1" x14ac:dyDescent="0.2">
      <c r="B119" s="376">
        <v>16</v>
      </c>
      <c r="C119" s="377" t="s">
        <v>331</v>
      </c>
      <c r="D119" s="387" t="s">
        <v>394</v>
      </c>
      <c r="E119" s="346">
        <v>0.309332</v>
      </c>
      <c r="F119" s="346">
        <f t="shared" si="4"/>
        <v>0</v>
      </c>
      <c r="G119" s="99">
        <v>0</v>
      </c>
      <c r="H119" s="96">
        <v>0</v>
      </c>
      <c r="I119" s="112"/>
      <c r="J119" s="382">
        <f t="shared" si="5"/>
        <v>0</v>
      </c>
    </row>
    <row r="120" spans="2:10" ht="36" x14ac:dyDescent="0.2">
      <c r="B120" s="376">
        <v>17</v>
      </c>
      <c r="C120" s="378">
        <v>21011</v>
      </c>
      <c r="D120" s="387" t="s">
        <v>344</v>
      </c>
      <c r="E120" s="346">
        <v>0.45591599999999999</v>
      </c>
      <c r="F120" s="346">
        <f t="shared" si="4"/>
        <v>0.410325</v>
      </c>
      <c r="G120" s="99">
        <v>0</v>
      </c>
      <c r="H120" s="96">
        <v>0.410325</v>
      </c>
      <c r="I120" s="112"/>
      <c r="J120" s="382">
        <f t="shared" si="5"/>
        <v>0</v>
      </c>
    </row>
    <row r="121" spans="2:10" ht="30" customHeight="1" x14ac:dyDescent="0.2">
      <c r="B121" s="376">
        <v>18</v>
      </c>
      <c r="C121" s="378">
        <v>21054</v>
      </c>
      <c r="D121" s="387" t="s">
        <v>395</v>
      </c>
      <c r="E121" s="346">
        <v>2.9056999999999999E-2</v>
      </c>
      <c r="F121" s="346">
        <f t="shared" si="4"/>
        <v>2.9034999999999998E-2</v>
      </c>
      <c r="G121" s="99">
        <v>2.9034999999999998E-2</v>
      </c>
      <c r="H121" s="96">
        <v>0</v>
      </c>
      <c r="I121" s="112"/>
      <c r="J121" s="382">
        <f t="shared" si="5"/>
        <v>0</v>
      </c>
    </row>
    <row r="122" spans="2:10" ht="24" x14ac:dyDescent="0.2">
      <c r="B122" s="376">
        <v>19</v>
      </c>
      <c r="C122" s="378">
        <v>23014</v>
      </c>
      <c r="D122" s="387" t="s">
        <v>345</v>
      </c>
      <c r="E122" s="346">
        <v>0.40636899999999998</v>
      </c>
      <c r="F122" s="346">
        <f t="shared" si="4"/>
        <v>0.365732</v>
      </c>
      <c r="G122" s="99">
        <v>0</v>
      </c>
      <c r="H122" s="96">
        <v>0.365732</v>
      </c>
      <c r="I122" s="112"/>
      <c r="J122" s="382">
        <f t="shared" si="5"/>
        <v>0</v>
      </c>
    </row>
    <row r="123" spans="2:10" ht="24" x14ac:dyDescent="0.2">
      <c r="B123" s="376">
        <v>20</v>
      </c>
      <c r="C123" s="378">
        <v>23015</v>
      </c>
      <c r="D123" s="387" t="s">
        <v>396</v>
      </c>
      <c r="E123" s="346">
        <v>3.5758999999999999E-2</v>
      </c>
      <c r="F123" s="346">
        <f t="shared" si="4"/>
        <v>3.2183000000000003E-2</v>
      </c>
      <c r="G123" s="99">
        <v>0</v>
      </c>
      <c r="H123" s="96">
        <v>3.2183000000000003E-2</v>
      </c>
      <c r="I123" s="112"/>
      <c r="J123" s="382">
        <f t="shared" si="5"/>
        <v>0</v>
      </c>
    </row>
    <row r="124" spans="2:10" ht="48" x14ac:dyDescent="0.2">
      <c r="B124" s="376">
        <v>21</v>
      </c>
      <c r="C124" s="378">
        <v>23176</v>
      </c>
      <c r="D124" s="387" t="s">
        <v>397</v>
      </c>
      <c r="E124" s="346">
        <v>0.49511100000000002</v>
      </c>
      <c r="F124" s="346">
        <f t="shared" si="4"/>
        <v>0</v>
      </c>
      <c r="G124" s="99">
        <v>0</v>
      </c>
      <c r="H124" s="96">
        <v>0</v>
      </c>
      <c r="I124" s="112"/>
      <c r="J124" s="382">
        <f t="shared" si="5"/>
        <v>0</v>
      </c>
    </row>
    <row r="125" spans="2:10" ht="24" x14ac:dyDescent="0.2">
      <c r="B125" s="376">
        <v>22</v>
      </c>
      <c r="C125" s="378">
        <v>24061</v>
      </c>
      <c r="D125" s="387" t="s">
        <v>367</v>
      </c>
      <c r="E125" s="346">
        <v>9.5436999999999994E-2</v>
      </c>
      <c r="F125" s="346">
        <f t="shared" si="4"/>
        <v>9.4973000000000002E-2</v>
      </c>
      <c r="G125" s="99">
        <v>9.4973000000000002E-2</v>
      </c>
      <c r="H125" s="96">
        <v>0</v>
      </c>
      <c r="I125" s="112"/>
      <c r="J125" s="382">
        <f t="shared" si="5"/>
        <v>0</v>
      </c>
    </row>
    <row r="126" spans="2:10" x14ac:dyDescent="0.2">
      <c r="B126" s="376">
        <v>23</v>
      </c>
      <c r="C126" s="377" t="s">
        <v>150</v>
      </c>
      <c r="D126" s="386" t="s">
        <v>305</v>
      </c>
      <c r="E126" s="346">
        <v>3.6075000000000003E-2</v>
      </c>
      <c r="F126" s="346">
        <f t="shared" si="4"/>
        <v>0</v>
      </c>
      <c r="G126" s="99">
        <v>0</v>
      </c>
      <c r="H126" s="96">
        <v>0</v>
      </c>
      <c r="I126" s="112"/>
      <c r="J126" s="382">
        <f t="shared" si="5"/>
        <v>0</v>
      </c>
    </row>
    <row r="127" spans="2:10" ht="48" x14ac:dyDescent="0.2">
      <c r="B127" s="376">
        <v>24</v>
      </c>
      <c r="C127" s="377" t="s">
        <v>156</v>
      </c>
      <c r="D127" s="387" t="s">
        <v>398</v>
      </c>
      <c r="E127" s="346">
        <v>0.23089199999999999</v>
      </c>
      <c r="F127" s="346">
        <f t="shared" si="4"/>
        <v>0</v>
      </c>
      <c r="G127" s="99">
        <v>0</v>
      </c>
      <c r="H127" s="96">
        <v>0</v>
      </c>
      <c r="I127" s="112"/>
      <c r="J127" s="382">
        <f t="shared" si="5"/>
        <v>0</v>
      </c>
    </row>
    <row r="128" spans="2:10" x14ac:dyDescent="0.2">
      <c r="B128" s="376">
        <v>25</v>
      </c>
      <c r="C128" s="377" t="s">
        <v>160</v>
      </c>
      <c r="D128" s="386" t="s">
        <v>332</v>
      </c>
      <c r="E128" s="346">
        <v>0.31814900000000002</v>
      </c>
      <c r="F128" s="346">
        <f t="shared" si="4"/>
        <v>0.2863</v>
      </c>
      <c r="G128" s="99">
        <v>0.2863</v>
      </c>
      <c r="H128" s="96">
        <v>0</v>
      </c>
      <c r="I128" s="112"/>
      <c r="J128" s="382">
        <f t="shared" si="5"/>
        <v>0</v>
      </c>
    </row>
    <row r="129" spans="2:10" ht="26.25" customHeight="1" x14ac:dyDescent="0.2">
      <c r="B129" s="376">
        <v>26</v>
      </c>
      <c r="C129" s="377" t="s">
        <v>165</v>
      </c>
      <c r="D129" s="387" t="s">
        <v>399</v>
      </c>
      <c r="E129" s="346">
        <v>0.16145999999999999</v>
      </c>
      <c r="F129" s="346">
        <f t="shared" si="4"/>
        <v>0</v>
      </c>
      <c r="G129" s="99">
        <v>0</v>
      </c>
      <c r="H129" s="96">
        <v>0</v>
      </c>
      <c r="I129" s="112"/>
      <c r="J129" s="382">
        <f t="shared" si="5"/>
        <v>0</v>
      </c>
    </row>
    <row r="130" spans="2:10" x14ac:dyDescent="0.2">
      <c r="B130" s="376">
        <v>27</v>
      </c>
      <c r="C130" s="377" t="s">
        <v>166</v>
      </c>
      <c r="D130" s="386" t="s">
        <v>313</v>
      </c>
      <c r="E130" s="346">
        <v>6.1151999999999998E-2</v>
      </c>
      <c r="F130" s="346">
        <f t="shared" si="4"/>
        <v>0</v>
      </c>
      <c r="G130" s="99">
        <v>0</v>
      </c>
      <c r="H130" s="96">
        <v>0</v>
      </c>
      <c r="I130" s="112"/>
      <c r="J130" s="382">
        <f t="shared" si="5"/>
        <v>0</v>
      </c>
    </row>
    <row r="131" spans="2:10" x14ac:dyDescent="0.2">
      <c r="B131" s="376">
        <v>28</v>
      </c>
      <c r="C131" s="377" t="s">
        <v>333</v>
      </c>
      <c r="D131" s="386" t="s">
        <v>334</v>
      </c>
      <c r="E131" s="346">
        <v>8.4045999999999996E-2</v>
      </c>
      <c r="F131" s="346">
        <f t="shared" si="4"/>
        <v>8.4045999999999996E-2</v>
      </c>
      <c r="G131" s="99">
        <v>8.4045999999999996E-2</v>
      </c>
      <c r="H131" s="96">
        <v>0</v>
      </c>
      <c r="I131" s="112"/>
      <c r="J131" s="382">
        <f t="shared" si="5"/>
        <v>0</v>
      </c>
    </row>
    <row r="132" spans="2:10" x14ac:dyDescent="0.2">
      <c r="B132" s="376">
        <v>29</v>
      </c>
      <c r="C132" s="377" t="s">
        <v>335</v>
      </c>
      <c r="D132" s="386" t="s">
        <v>336</v>
      </c>
      <c r="E132" s="346">
        <v>0.11895699999999999</v>
      </c>
      <c r="F132" s="346">
        <f t="shared" si="4"/>
        <v>0.11895699999999999</v>
      </c>
      <c r="G132" s="99">
        <v>0.11895699999999999</v>
      </c>
      <c r="H132" s="96">
        <v>0</v>
      </c>
      <c r="I132" s="112"/>
      <c r="J132" s="382">
        <f t="shared" si="5"/>
        <v>0</v>
      </c>
    </row>
    <row r="133" spans="2:10" x14ac:dyDescent="0.2">
      <c r="B133" s="90"/>
      <c r="C133" s="384"/>
      <c r="D133" s="385" t="s">
        <v>208</v>
      </c>
      <c r="E133" s="347">
        <f>(SUM(E104:E132)-21.9567)*-1</f>
        <v>2.8999999990730885E-5</v>
      </c>
      <c r="F133" s="348">
        <f t="shared" si="4"/>
        <v>0</v>
      </c>
      <c r="G133" s="99">
        <v>0</v>
      </c>
      <c r="H133" s="96">
        <v>0</v>
      </c>
      <c r="I133" s="112"/>
      <c r="J133" s="382">
        <f t="shared" si="5"/>
        <v>0</v>
      </c>
    </row>
    <row r="134" spans="2:10" ht="15.75" thickBot="1" x14ac:dyDescent="0.25">
      <c r="B134" s="661" t="s">
        <v>12</v>
      </c>
      <c r="C134" s="662"/>
      <c r="D134" s="663"/>
      <c r="E134" s="349">
        <f>+SUM(E104:E133)</f>
        <v>21.956700000000001</v>
      </c>
      <c r="F134" s="349">
        <f>SUM(F104:F133)</f>
        <v>21.956700000000001</v>
      </c>
      <c r="G134" s="349">
        <f>SUM(G104:G133)</f>
        <v>21.956700000000001</v>
      </c>
      <c r="H134" s="350">
        <f>SUM(H104:H133)</f>
        <v>0</v>
      </c>
      <c r="I134" s="112"/>
      <c r="J134" s="264"/>
    </row>
    <row r="135" spans="2:10" ht="15" x14ac:dyDescent="0.2">
      <c r="B135" s="76" t="s">
        <v>64</v>
      </c>
      <c r="C135" s="369"/>
      <c r="D135" s="52"/>
      <c r="E135" s="113"/>
      <c r="F135" s="113"/>
      <c r="G135" s="113"/>
      <c r="H135" s="113"/>
      <c r="I135" s="112"/>
      <c r="J135" s="383"/>
    </row>
    <row r="136" spans="2:10" ht="15" x14ac:dyDescent="0.2">
      <c r="B136" s="76"/>
      <c r="C136" s="369"/>
      <c r="D136" s="52"/>
      <c r="F136" s="57"/>
      <c r="G136" s="52"/>
      <c r="H136" s="57"/>
      <c r="J136" s="258"/>
    </row>
    <row r="137" spans="2:10" ht="15.75" x14ac:dyDescent="0.2">
      <c r="C137" s="646" t="s">
        <v>119</v>
      </c>
      <c r="D137" s="646"/>
      <c r="E137" s="647" t="s">
        <v>205</v>
      </c>
      <c r="F137" s="647"/>
      <c r="G137" s="647"/>
      <c r="H137" s="647"/>
      <c r="J137" s="258"/>
    </row>
    <row r="138" spans="2:10" x14ac:dyDescent="0.2">
      <c r="C138" s="648" t="str">
        <f>+C97</f>
        <v>Özbulut Yapı Taah.İnş.Gıda San.ve Tic.Ltd.Şti.</v>
      </c>
      <c r="D138" s="648"/>
      <c r="E138" s="649"/>
      <c r="F138" s="650"/>
      <c r="G138" s="648" t="str">
        <f>+G21</f>
        <v>Elvan HAMZAÇEBİ</v>
      </c>
      <c r="H138" s="648"/>
      <c r="J138" s="258"/>
    </row>
    <row r="139" spans="2:10" x14ac:dyDescent="0.2">
      <c r="C139" s="648"/>
      <c r="D139" s="648"/>
      <c r="E139" s="650"/>
      <c r="F139" s="650"/>
      <c r="G139" s="648" t="str">
        <f>+G22</f>
        <v xml:space="preserve">  İnş.Müh.</v>
      </c>
      <c r="H139" s="648"/>
      <c r="J139" s="258"/>
    </row>
  </sheetData>
  <customSheetViews>
    <customSheetView guid="{B697A606-4F7D-4003-A961-6D85D54ED7E6}" showPageBreaks="1" showGridLines="0" showRuler="0">
      <selection activeCell="C3" sqref="C3"/>
      <pageMargins left="0.59055118110236227" right="0.59055118110236227" top="0.78740157480314965" bottom="0.78740157480314965" header="0.51181102362204722" footer="0.51181102362204722"/>
      <printOptions horizontalCentered="1"/>
      <pageSetup paperSize="9" scale="92" orientation="portrait" r:id="rId1"/>
      <headerFooter alignWithMargins="0"/>
    </customSheetView>
    <customSheetView guid="{A0FBF4F0-B30E-4ACB-A5FE-211E2EFA502B}" showPageBreaks="1" showGridLines="0" showRuler="0">
      <selection activeCell="M36" sqref="M36"/>
      <pageMargins left="0.59055118110236227" right="0.59055118110236227" top="0.78740157480314965" bottom="0.78740157480314965" header="0.51181102362204722" footer="0.51181102362204722"/>
      <printOptions horizontalCentered="1"/>
      <pageSetup paperSize="9" scale="92" orientation="portrait" r:id="rId2"/>
      <headerFooter alignWithMargins="0"/>
    </customSheetView>
  </customSheetViews>
  <mergeCells count="36">
    <mergeCell ref="G21:H21"/>
    <mergeCell ref="G22:H22"/>
    <mergeCell ref="E21:F21"/>
    <mergeCell ref="E22:F22"/>
    <mergeCell ref="C21:D22"/>
    <mergeCell ref="C20:D20"/>
    <mergeCell ref="B1:H1"/>
    <mergeCell ref="B17:D17"/>
    <mergeCell ref="B2:H2"/>
    <mergeCell ref="B4:F4"/>
    <mergeCell ref="B3:F3"/>
    <mergeCell ref="E20:H20"/>
    <mergeCell ref="B24:H24"/>
    <mergeCell ref="B25:H25"/>
    <mergeCell ref="B26:F26"/>
    <mergeCell ref="B27:F27"/>
    <mergeCell ref="B93:D93"/>
    <mergeCell ref="C96:D96"/>
    <mergeCell ref="E96:H96"/>
    <mergeCell ref="C97:D98"/>
    <mergeCell ref="E97:F97"/>
    <mergeCell ref="G97:H97"/>
    <mergeCell ref="E98:F98"/>
    <mergeCell ref="G98:H98"/>
    <mergeCell ref="B99:H99"/>
    <mergeCell ref="B100:H100"/>
    <mergeCell ref="B101:F101"/>
    <mergeCell ref="B102:F102"/>
    <mergeCell ref="B134:D134"/>
    <mergeCell ref="C137:D137"/>
    <mergeCell ref="E137:H137"/>
    <mergeCell ref="C138:D139"/>
    <mergeCell ref="E138:F138"/>
    <mergeCell ref="G138:H138"/>
    <mergeCell ref="E139:F139"/>
    <mergeCell ref="G139:H139"/>
  </mergeCells>
  <phoneticPr fontId="10" type="noConversion"/>
  <printOptions horizontalCentered="1"/>
  <pageMargins left="0.82" right="0.55000000000000004" top="0.7" bottom="0.5" header="0.35" footer="0.51181102362204722"/>
  <pageSetup paperSize="9" scale="75" orientation="portrait" horizontalDpi="300" verticalDpi="300" r:id="rId3"/>
  <headerFooter alignWithMargins="0"/>
  <rowBreaks count="3" manualBreakCount="3">
    <brk id="23" max="8" man="1"/>
    <brk id="58" max="8" man="1"/>
    <brk id="9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M109"/>
  <sheetViews>
    <sheetView showGridLines="0" view="pageBreakPreview" topLeftCell="A79" zoomScaleSheetLayoutView="100" workbookViewId="0">
      <selection activeCell="L103" sqref="L103"/>
    </sheetView>
  </sheetViews>
  <sheetFormatPr defaultRowHeight="12.75" x14ac:dyDescent="0.2"/>
  <cols>
    <col min="1" max="1" width="2.7109375" style="65" customWidth="1"/>
    <col min="2" max="2" width="5.7109375" style="65" customWidth="1"/>
    <col min="3" max="3" width="9.7109375" style="65" customWidth="1"/>
    <col min="4" max="4" width="51.5703125" style="65" customWidth="1"/>
    <col min="5" max="5" width="11.42578125" style="268" customWidth="1"/>
    <col min="6" max="6" width="14.140625" style="268" bestFit="1" customWidth="1"/>
    <col min="7" max="7" width="13.5703125" style="268" customWidth="1"/>
    <col min="8" max="8" width="15.28515625" style="65" bestFit="1" customWidth="1"/>
    <col min="9" max="9" width="1.85546875" style="65" customWidth="1"/>
    <col min="10" max="10" width="18" style="65" bestFit="1" customWidth="1"/>
    <col min="11" max="12" width="9.140625" style="65"/>
    <col min="13" max="13" width="9.5703125" style="65" bestFit="1" customWidth="1"/>
    <col min="14" max="16384" width="9.140625" style="65"/>
  </cols>
  <sheetData>
    <row r="1" spans="2:10" ht="32.1" customHeight="1" thickBot="1" x14ac:dyDescent="0.25">
      <c r="B1" s="680" t="s">
        <v>116</v>
      </c>
      <c r="C1" s="681"/>
      <c r="D1" s="681"/>
      <c r="E1" s="681"/>
      <c r="F1" s="681"/>
      <c r="G1" s="681"/>
      <c r="H1" s="682"/>
    </row>
    <row r="2" spans="2:10" ht="29.25" customHeight="1" thickBot="1" x14ac:dyDescent="0.25">
      <c r="B2" s="667" t="str">
        <f>'Hakediş Raporu Kapağı'!F9</f>
        <v xml:space="preserve">Araklı Çankaya Yibo Lojman İnşaatı İşi </v>
      </c>
      <c r="C2" s="668"/>
      <c r="D2" s="668"/>
      <c r="E2" s="668"/>
      <c r="F2" s="668"/>
      <c r="G2" s="668"/>
      <c r="H2" s="669"/>
    </row>
    <row r="3" spans="2:10" ht="16.5" thickBot="1" x14ac:dyDescent="0.25">
      <c r="B3" s="683"/>
      <c r="C3" s="684"/>
      <c r="D3" s="684"/>
      <c r="E3" s="684"/>
      <c r="F3" s="684"/>
      <c r="G3" s="391" t="s">
        <v>218</v>
      </c>
      <c r="H3" s="392">
        <v>1</v>
      </c>
    </row>
    <row r="4" spans="2:10" ht="23.25" customHeight="1" thickBot="1" x14ac:dyDescent="0.25">
      <c r="B4" s="685" t="s">
        <v>522</v>
      </c>
      <c r="C4" s="686"/>
      <c r="D4" s="686"/>
      <c r="E4" s="686"/>
      <c r="F4" s="686"/>
      <c r="G4" s="393" t="s">
        <v>13</v>
      </c>
      <c r="H4" s="394" t="str">
        <f>'Hakediş Raporu Kapağı'!F6</f>
        <v>5(Beş)</v>
      </c>
    </row>
    <row r="5" spans="2:10" ht="42.75" x14ac:dyDescent="0.2">
      <c r="B5" s="372" t="s">
        <v>15</v>
      </c>
      <c r="C5" s="374" t="s">
        <v>17</v>
      </c>
      <c r="D5" s="374" t="s">
        <v>16</v>
      </c>
      <c r="E5" s="396" t="s">
        <v>124</v>
      </c>
      <c r="F5" s="396" t="s">
        <v>125</v>
      </c>
      <c r="G5" s="396" t="s">
        <v>126</v>
      </c>
      <c r="H5" s="397" t="s">
        <v>127</v>
      </c>
      <c r="J5" s="266" t="s">
        <v>206</v>
      </c>
    </row>
    <row r="6" spans="2:10" ht="15" customHeight="1" x14ac:dyDescent="0.2">
      <c r="B6" s="376">
        <v>1</v>
      </c>
      <c r="C6" s="377" t="s">
        <v>523</v>
      </c>
      <c r="D6" s="386" t="s">
        <v>524</v>
      </c>
      <c r="E6" s="206">
        <v>0.26607399999999998</v>
      </c>
      <c r="F6" s="98">
        <f>G6+H6</f>
        <v>0</v>
      </c>
      <c r="G6" s="300">
        <v>0</v>
      </c>
      <c r="H6" s="398">
        <v>0</v>
      </c>
      <c r="J6" s="382">
        <f>+E6-F6</f>
        <v>0</v>
      </c>
    </row>
    <row r="7" spans="2:10" ht="24" x14ac:dyDescent="0.2">
      <c r="B7" s="376">
        <v>2</v>
      </c>
      <c r="C7" s="377" t="s">
        <v>525</v>
      </c>
      <c r="D7" s="387" t="s">
        <v>603</v>
      </c>
      <c r="E7" s="206">
        <v>0.173264</v>
      </c>
      <c r="F7" s="98">
        <f t="shared" ref="F7:F49" si="0">G7+H7</f>
        <v>0</v>
      </c>
      <c r="G7" s="300">
        <v>0</v>
      </c>
      <c r="H7" s="398">
        <v>0</v>
      </c>
      <c r="J7" s="382">
        <f t="shared" ref="J7:J49" si="1">+E7-F7</f>
        <v>0</v>
      </c>
    </row>
    <row r="8" spans="2:10" ht="15" customHeight="1" x14ac:dyDescent="0.2">
      <c r="B8" s="376">
        <v>3</v>
      </c>
      <c r="C8" s="377" t="s">
        <v>526</v>
      </c>
      <c r="D8" s="386" t="s">
        <v>527</v>
      </c>
      <c r="E8" s="206">
        <v>0.119532</v>
      </c>
      <c r="F8" s="98">
        <f t="shared" si="0"/>
        <v>0</v>
      </c>
      <c r="G8" s="300">
        <v>0</v>
      </c>
      <c r="H8" s="398">
        <v>0</v>
      </c>
      <c r="J8" s="382">
        <f t="shared" si="1"/>
        <v>0</v>
      </c>
    </row>
    <row r="9" spans="2:10" ht="15" customHeight="1" x14ac:dyDescent="0.2">
      <c r="B9" s="376">
        <v>4</v>
      </c>
      <c r="C9" s="377" t="s">
        <v>528</v>
      </c>
      <c r="D9" s="386" t="s">
        <v>529</v>
      </c>
      <c r="E9" s="206">
        <v>6.4075999999999994E-2</v>
      </c>
      <c r="F9" s="98">
        <f t="shared" si="0"/>
        <v>0</v>
      </c>
      <c r="G9" s="300">
        <v>0</v>
      </c>
      <c r="H9" s="398">
        <v>0</v>
      </c>
      <c r="J9" s="382">
        <f t="shared" si="1"/>
        <v>0</v>
      </c>
    </row>
    <row r="10" spans="2:10" ht="15" customHeight="1" x14ac:dyDescent="0.2">
      <c r="B10" s="376">
        <v>5</v>
      </c>
      <c r="C10" s="377" t="s">
        <v>530</v>
      </c>
      <c r="D10" s="386" t="s">
        <v>531</v>
      </c>
      <c r="E10" s="206">
        <v>9.8556000000000005E-2</v>
      </c>
      <c r="F10" s="98">
        <f t="shared" si="0"/>
        <v>9.8556000000000005E-2</v>
      </c>
      <c r="G10" s="300">
        <v>0</v>
      </c>
      <c r="H10" s="398">
        <v>9.8556000000000005E-2</v>
      </c>
      <c r="J10" s="382">
        <f t="shared" si="1"/>
        <v>0</v>
      </c>
    </row>
    <row r="11" spans="2:10" ht="15" customHeight="1" x14ac:dyDescent="0.2">
      <c r="B11" s="376">
        <v>6</v>
      </c>
      <c r="C11" s="377" t="s">
        <v>532</v>
      </c>
      <c r="D11" s="386" t="s">
        <v>533</v>
      </c>
      <c r="E11" s="206">
        <v>0.24337400000000001</v>
      </c>
      <c r="F11" s="98">
        <f t="shared" si="0"/>
        <v>0</v>
      </c>
      <c r="G11" s="300">
        <v>0</v>
      </c>
      <c r="H11" s="398">
        <v>0</v>
      </c>
      <c r="J11" s="382">
        <f t="shared" si="1"/>
        <v>0</v>
      </c>
    </row>
    <row r="12" spans="2:10" ht="15" customHeight="1" x14ac:dyDescent="0.2">
      <c r="B12" s="376">
        <v>7</v>
      </c>
      <c r="C12" s="377" t="s">
        <v>534</v>
      </c>
      <c r="D12" s="386" t="s">
        <v>535</v>
      </c>
      <c r="E12" s="206">
        <v>0.20714099999999999</v>
      </c>
      <c r="F12" s="98">
        <f t="shared" si="0"/>
        <v>0</v>
      </c>
      <c r="G12" s="300">
        <v>0</v>
      </c>
      <c r="H12" s="398">
        <v>0</v>
      </c>
      <c r="J12" s="382">
        <f t="shared" si="1"/>
        <v>0</v>
      </c>
    </row>
    <row r="13" spans="2:10" ht="15" customHeight="1" x14ac:dyDescent="0.2">
      <c r="B13" s="376">
        <v>8</v>
      </c>
      <c r="C13" s="377" t="s">
        <v>536</v>
      </c>
      <c r="D13" s="386" t="s">
        <v>537</v>
      </c>
      <c r="E13" s="206">
        <v>0.167963</v>
      </c>
      <c r="F13" s="98">
        <f t="shared" si="0"/>
        <v>0</v>
      </c>
      <c r="G13" s="300">
        <v>0</v>
      </c>
      <c r="H13" s="398">
        <v>0</v>
      </c>
      <c r="J13" s="382">
        <f t="shared" si="1"/>
        <v>0</v>
      </c>
    </row>
    <row r="14" spans="2:10" ht="15" customHeight="1" x14ac:dyDescent="0.2">
      <c r="B14" s="376">
        <v>9</v>
      </c>
      <c r="C14" s="377" t="s">
        <v>538</v>
      </c>
      <c r="D14" s="386" t="s">
        <v>539</v>
      </c>
      <c r="E14" s="206">
        <v>0.23805799999999999</v>
      </c>
      <c r="F14" s="98">
        <f t="shared" si="0"/>
        <v>0</v>
      </c>
      <c r="G14" s="300">
        <v>0</v>
      </c>
      <c r="H14" s="398">
        <v>0</v>
      </c>
      <c r="J14" s="382">
        <f t="shared" si="1"/>
        <v>0</v>
      </c>
    </row>
    <row r="15" spans="2:10" ht="15" customHeight="1" x14ac:dyDescent="0.2">
      <c r="B15" s="376">
        <v>10</v>
      </c>
      <c r="C15" s="377" t="s">
        <v>540</v>
      </c>
      <c r="D15" s="386" t="s">
        <v>541</v>
      </c>
      <c r="E15" s="206">
        <v>2.155E-2</v>
      </c>
      <c r="F15" s="98">
        <f t="shared" si="0"/>
        <v>0</v>
      </c>
      <c r="G15" s="300">
        <v>0</v>
      </c>
      <c r="H15" s="398">
        <v>0</v>
      </c>
      <c r="J15" s="382">
        <f t="shared" si="1"/>
        <v>0</v>
      </c>
    </row>
    <row r="16" spans="2:10" ht="24" x14ac:dyDescent="0.2">
      <c r="B16" s="376">
        <v>11</v>
      </c>
      <c r="C16" s="377" t="s">
        <v>542</v>
      </c>
      <c r="D16" s="387" t="s">
        <v>604</v>
      </c>
      <c r="E16" s="206">
        <v>5.8903999999999998E-2</v>
      </c>
      <c r="F16" s="98">
        <f t="shared" si="0"/>
        <v>0</v>
      </c>
      <c r="G16" s="300">
        <v>0</v>
      </c>
      <c r="H16" s="398">
        <v>0</v>
      </c>
      <c r="J16" s="382">
        <f t="shared" si="1"/>
        <v>0</v>
      </c>
    </row>
    <row r="17" spans="2:10" ht="15" customHeight="1" x14ac:dyDescent="0.2">
      <c r="B17" s="376">
        <v>12</v>
      </c>
      <c r="C17" s="377" t="s">
        <v>543</v>
      </c>
      <c r="D17" s="386" t="s">
        <v>544</v>
      </c>
      <c r="E17" s="206">
        <v>4.2928000000000001E-2</v>
      </c>
      <c r="F17" s="98">
        <f t="shared" si="0"/>
        <v>0</v>
      </c>
      <c r="G17" s="300">
        <v>0</v>
      </c>
      <c r="H17" s="398">
        <v>0</v>
      </c>
      <c r="J17" s="382">
        <f t="shared" si="1"/>
        <v>0</v>
      </c>
    </row>
    <row r="18" spans="2:10" ht="15" customHeight="1" x14ac:dyDescent="0.2">
      <c r="B18" s="376">
        <v>13</v>
      </c>
      <c r="C18" s="377" t="s">
        <v>545</v>
      </c>
      <c r="D18" s="386" t="s">
        <v>546</v>
      </c>
      <c r="E18" s="206">
        <v>0.16636799999999999</v>
      </c>
      <c r="F18" s="98">
        <f t="shared" si="0"/>
        <v>0</v>
      </c>
      <c r="G18" s="300">
        <v>0</v>
      </c>
      <c r="H18" s="398">
        <v>0</v>
      </c>
      <c r="J18" s="382">
        <f t="shared" si="1"/>
        <v>0</v>
      </c>
    </row>
    <row r="19" spans="2:10" ht="15" customHeight="1" x14ac:dyDescent="0.2">
      <c r="B19" s="376">
        <v>14</v>
      </c>
      <c r="C19" s="377" t="s">
        <v>547</v>
      </c>
      <c r="D19" s="386" t="s">
        <v>548</v>
      </c>
      <c r="E19" s="206">
        <v>4.6691999999999997E-2</v>
      </c>
      <c r="F19" s="98">
        <f t="shared" si="0"/>
        <v>0</v>
      </c>
      <c r="G19" s="300">
        <v>0</v>
      </c>
      <c r="H19" s="398">
        <v>0</v>
      </c>
      <c r="J19" s="382">
        <f t="shared" si="1"/>
        <v>0</v>
      </c>
    </row>
    <row r="20" spans="2:10" ht="15" customHeight="1" x14ac:dyDescent="0.2">
      <c r="B20" s="376">
        <v>15</v>
      </c>
      <c r="C20" s="377" t="s">
        <v>549</v>
      </c>
      <c r="D20" s="386" t="s">
        <v>550</v>
      </c>
      <c r="E20" s="206">
        <v>2.2842999999999999E-2</v>
      </c>
      <c r="F20" s="98">
        <f t="shared" si="0"/>
        <v>0</v>
      </c>
      <c r="G20" s="300">
        <v>0</v>
      </c>
      <c r="H20" s="398">
        <v>0</v>
      </c>
      <c r="J20" s="382">
        <f t="shared" si="1"/>
        <v>0</v>
      </c>
    </row>
    <row r="21" spans="2:10" ht="15" customHeight="1" x14ac:dyDescent="0.2">
      <c r="B21" s="376">
        <v>16</v>
      </c>
      <c r="C21" s="377" t="s">
        <v>551</v>
      </c>
      <c r="D21" s="386" t="s">
        <v>552</v>
      </c>
      <c r="E21" s="206">
        <v>6.1776999999999999E-2</v>
      </c>
      <c r="F21" s="98">
        <f t="shared" si="0"/>
        <v>0</v>
      </c>
      <c r="G21" s="300">
        <v>0</v>
      </c>
      <c r="H21" s="398">
        <v>0</v>
      </c>
      <c r="J21" s="382">
        <f t="shared" si="1"/>
        <v>0</v>
      </c>
    </row>
    <row r="22" spans="2:10" ht="15" customHeight="1" x14ac:dyDescent="0.2">
      <c r="B22" s="376">
        <v>17</v>
      </c>
      <c r="C22" s="377" t="s">
        <v>553</v>
      </c>
      <c r="D22" s="386" t="s">
        <v>554</v>
      </c>
      <c r="E22" s="206">
        <v>3.9940000000000003E-2</v>
      </c>
      <c r="F22" s="98">
        <f t="shared" si="0"/>
        <v>0</v>
      </c>
      <c r="G22" s="300">
        <v>0</v>
      </c>
      <c r="H22" s="398">
        <v>0</v>
      </c>
      <c r="J22" s="382">
        <f t="shared" si="1"/>
        <v>0</v>
      </c>
    </row>
    <row r="23" spans="2:10" ht="15" customHeight="1" x14ac:dyDescent="0.2">
      <c r="B23" s="376">
        <v>18</v>
      </c>
      <c r="C23" s="377" t="s">
        <v>555</v>
      </c>
      <c r="D23" s="386" t="s">
        <v>556</v>
      </c>
      <c r="E23" s="206">
        <v>2.5860000000000001E-2</v>
      </c>
      <c r="F23" s="98">
        <f t="shared" si="0"/>
        <v>0</v>
      </c>
      <c r="G23" s="300">
        <v>0</v>
      </c>
      <c r="H23" s="398">
        <v>0</v>
      </c>
      <c r="J23" s="382">
        <f t="shared" si="1"/>
        <v>0</v>
      </c>
    </row>
    <row r="24" spans="2:10" ht="15" customHeight="1" x14ac:dyDescent="0.2">
      <c r="B24" s="376">
        <v>19</v>
      </c>
      <c r="C24" s="377" t="s">
        <v>557</v>
      </c>
      <c r="D24" s="386" t="s">
        <v>558</v>
      </c>
      <c r="E24" s="206">
        <v>9.7689999999999999E-3</v>
      </c>
      <c r="F24" s="98">
        <f t="shared" si="0"/>
        <v>0</v>
      </c>
      <c r="G24" s="300">
        <v>0</v>
      </c>
      <c r="H24" s="398">
        <v>0</v>
      </c>
      <c r="J24" s="382">
        <f t="shared" si="1"/>
        <v>0</v>
      </c>
    </row>
    <row r="25" spans="2:10" ht="15" customHeight="1" x14ac:dyDescent="0.2">
      <c r="B25" s="376">
        <v>20</v>
      </c>
      <c r="C25" s="377" t="s">
        <v>559</v>
      </c>
      <c r="D25" s="386" t="s">
        <v>560</v>
      </c>
      <c r="E25" s="206">
        <v>0.28278199999999998</v>
      </c>
      <c r="F25" s="98">
        <f t="shared" si="0"/>
        <v>0</v>
      </c>
      <c r="G25" s="300">
        <v>0</v>
      </c>
      <c r="H25" s="398">
        <v>0</v>
      </c>
      <c r="J25" s="382">
        <f t="shared" si="1"/>
        <v>0</v>
      </c>
    </row>
    <row r="26" spans="2:10" ht="15" customHeight="1" x14ac:dyDescent="0.2">
      <c r="B26" s="376">
        <v>21</v>
      </c>
      <c r="C26" s="377" t="s">
        <v>561</v>
      </c>
      <c r="D26" s="386" t="s">
        <v>562</v>
      </c>
      <c r="E26" s="206">
        <v>0.16320699999999999</v>
      </c>
      <c r="F26" s="98">
        <f t="shared" si="0"/>
        <v>0</v>
      </c>
      <c r="G26" s="300">
        <v>0</v>
      </c>
      <c r="H26" s="398">
        <v>0</v>
      </c>
      <c r="J26" s="382">
        <f t="shared" si="1"/>
        <v>0</v>
      </c>
    </row>
    <row r="27" spans="2:10" ht="15" customHeight="1" x14ac:dyDescent="0.2">
      <c r="B27" s="376">
        <v>22</v>
      </c>
      <c r="C27" s="377" t="s">
        <v>563</v>
      </c>
      <c r="D27" s="386" t="s">
        <v>564</v>
      </c>
      <c r="E27" s="206">
        <v>0.81143900000000002</v>
      </c>
      <c r="F27" s="98">
        <f t="shared" si="0"/>
        <v>0</v>
      </c>
      <c r="G27" s="300">
        <v>0</v>
      </c>
      <c r="H27" s="398">
        <v>0</v>
      </c>
      <c r="J27" s="382">
        <f t="shared" si="1"/>
        <v>0</v>
      </c>
    </row>
    <row r="28" spans="2:10" ht="27" customHeight="1" x14ac:dyDescent="0.2">
      <c r="B28" s="376">
        <v>23</v>
      </c>
      <c r="C28" s="377" t="s">
        <v>565</v>
      </c>
      <c r="D28" s="387" t="s">
        <v>606</v>
      </c>
      <c r="E28" s="206">
        <v>0.436608</v>
      </c>
      <c r="F28" s="98">
        <f t="shared" si="0"/>
        <v>0</v>
      </c>
      <c r="G28" s="300">
        <v>0</v>
      </c>
      <c r="H28" s="398">
        <v>0</v>
      </c>
      <c r="J28" s="382">
        <f t="shared" si="1"/>
        <v>0</v>
      </c>
    </row>
    <row r="29" spans="2:10" ht="15" customHeight="1" x14ac:dyDescent="0.2">
      <c r="B29" s="376">
        <v>24</v>
      </c>
      <c r="C29" s="377" t="s">
        <v>566</v>
      </c>
      <c r="D29" s="386" t="s">
        <v>567</v>
      </c>
      <c r="E29" s="206">
        <v>0.59335000000000004</v>
      </c>
      <c r="F29" s="98">
        <f t="shared" si="0"/>
        <v>0</v>
      </c>
      <c r="G29" s="300">
        <v>0</v>
      </c>
      <c r="H29" s="398">
        <v>0</v>
      </c>
      <c r="J29" s="382">
        <f t="shared" si="1"/>
        <v>0</v>
      </c>
    </row>
    <row r="30" spans="2:10" ht="15" customHeight="1" x14ac:dyDescent="0.2">
      <c r="B30" s="376">
        <v>25</v>
      </c>
      <c r="C30" s="377" t="s">
        <v>568</v>
      </c>
      <c r="D30" s="386" t="s">
        <v>569</v>
      </c>
      <c r="E30" s="206">
        <v>3.1610000000000002E-3</v>
      </c>
      <c r="F30" s="98">
        <f t="shared" si="0"/>
        <v>0</v>
      </c>
      <c r="G30" s="300">
        <v>0</v>
      </c>
      <c r="H30" s="398">
        <v>0</v>
      </c>
      <c r="J30" s="382">
        <f t="shared" si="1"/>
        <v>0</v>
      </c>
    </row>
    <row r="31" spans="2:10" ht="15" customHeight="1" x14ac:dyDescent="0.2">
      <c r="B31" s="376">
        <v>26</v>
      </c>
      <c r="C31" s="377" t="s">
        <v>570</v>
      </c>
      <c r="D31" s="386" t="s">
        <v>571</v>
      </c>
      <c r="E31" s="206">
        <v>4.2570000000000004E-3</v>
      </c>
      <c r="F31" s="98">
        <f t="shared" si="0"/>
        <v>0</v>
      </c>
      <c r="G31" s="300">
        <v>0</v>
      </c>
      <c r="H31" s="398">
        <v>0</v>
      </c>
      <c r="J31" s="382">
        <f t="shared" si="1"/>
        <v>0</v>
      </c>
    </row>
    <row r="32" spans="2:10" ht="15" customHeight="1" x14ac:dyDescent="0.2">
      <c r="B32" s="376">
        <v>27</v>
      </c>
      <c r="C32" s="377" t="s">
        <v>572</v>
      </c>
      <c r="D32" s="386" t="s">
        <v>573</v>
      </c>
      <c r="E32" s="206">
        <f>0.125322+0.037597</f>
        <v>0.16291899999999998</v>
      </c>
      <c r="F32" s="98">
        <f t="shared" si="0"/>
        <v>0</v>
      </c>
      <c r="G32" s="300">
        <v>0</v>
      </c>
      <c r="H32" s="398">
        <v>0</v>
      </c>
      <c r="J32" s="382">
        <f t="shared" si="1"/>
        <v>0</v>
      </c>
    </row>
    <row r="33" spans="2:10" ht="15" customHeight="1" x14ac:dyDescent="0.2">
      <c r="B33" s="376">
        <v>28</v>
      </c>
      <c r="C33" s="377" t="s">
        <v>574</v>
      </c>
      <c r="D33" s="386" t="s">
        <v>575</v>
      </c>
      <c r="E33" s="206">
        <f>0.005423+0.001627</f>
        <v>7.0499999999999998E-3</v>
      </c>
      <c r="F33" s="98">
        <f t="shared" si="0"/>
        <v>0</v>
      </c>
      <c r="G33" s="300">
        <v>0</v>
      </c>
      <c r="H33" s="398">
        <v>0</v>
      </c>
      <c r="J33" s="382">
        <f t="shared" si="1"/>
        <v>0</v>
      </c>
    </row>
    <row r="34" spans="2:10" ht="15" customHeight="1" x14ac:dyDescent="0.2">
      <c r="B34" s="376">
        <v>29</v>
      </c>
      <c r="C34" s="377" t="s">
        <v>576</v>
      </c>
      <c r="D34" s="386" t="s">
        <v>577</v>
      </c>
      <c r="E34" s="206">
        <f>0.004238+0.001271</f>
        <v>5.509E-3</v>
      </c>
      <c r="F34" s="98">
        <f t="shared" si="0"/>
        <v>0</v>
      </c>
      <c r="G34" s="300">
        <v>0</v>
      </c>
      <c r="H34" s="398">
        <v>0</v>
      </c>
      <c r="J34" s="382">
        <f t="shared" si="1"/>
        <v>0</v>
      </c>
    </row>
    <row r="35" spans="2:10" ht="15" customHeight="1" x14ac:dyDescent="0.2">
      <c r="B35" s="376">
        <v>30</v>
      </c>
      <c r="C35" s="377" t="s">
        <v>578</v>
      </c>
      <c r="D35" s="386" t="s">
        <v>579</v>
      </c>
      <c r="E35" s="206">
        <f>0.054752+0.024638</f>
        <v>7.9390000000000002E-2</v>
      </c>
      <c r="F35" s="98">
        <f t="shared" si="0"/>
        <v>4.7634000000000003E-2</v>
      </c>
      <c r="G35" s="300">
        <v>4.7634000000000003E-2</v>
      </c>
      <c r="H35" s="398">
        <v>0</v>
      </c>
      <c r="J35" s="382">
        <f t="shared" si="1"/>
        <v>0</v>
      </c>
    </row>
    <row r="36" spans="2:10" ht="15" customHeight="1" x14ac:dyDescent="0.2">
      <c r="B36" s="376">
        <v>31</v>
      </c>
      <c r="C36" s="377" t="s">
        <v>580</v>
      </c>
      <c r="D36" s="386" t="s">
        <v>581</v>
      </c>
      <c r="E36" s="206">
        <f>0.079377+0.03572</f>
        <v>0.115097</v>
      </c>
      <c r="F36" s="98">
        <f t="shared" si="0"/>
        <v>6.9057999999999994E-2</v>
      </c>
      <c r="G36" s="300">
        <v>6.9057999999999994E-2</v>
      </c>
      <c r="H36" s="398">
        <v>0</v>
      </c>
      <c r="J36" s="382">
        <f t="shared" si="1"/>
        <v>0</v>
      </c>
    </row>
    <row r="37" spans="2:10" ht="15" customHeight="1" x14ac:dyDescent="0.2">
      <c r="B37" s="376">
        <v>32</v>
      </c>
      <c r="C37" s="377" t="s">
        <v>582</v>
      </c>
      <c r="D37" s="386" t="s">
        <v>583</v>
      </c>
      <c r="E37" s="206">
        <f>0.004813+0.002166</f>
        <v>6.9789999999999991E-3</v>
      </c>
      <c r="F37" s="98">
        <f t="shared" si="0"/>
        <v>4.1869999999999997E-3</v>
      </c>
      <c r="G37" s="300">
        <v>4.1869999999999997E-3</v>
      </c>
      <c r="H37" s="398">
        <v>0</v>
      </c>
      <c r="J37" s="382">
        <f t="shared" si="1"/>
        <v>0</v>
      </c>
    </row>
    <row r="38" spans="2:10" ht="24" x14ac:dyDescent="0.2">
      <c r="B38" s="376">
        <v>33</v>
      </c>
      <c r="C38" s="377" t="s">
        <v>584</v>
      </c>
      <c r="D38" s="387" t="s">
        <v>605</v>
      </c>
      <c r="E38" s="206">
        <f>0.065297+0.022854</f>
        <v>8.8150999999999993E-2</v>
      </c>
      <c r="F38" s="98">
        <f t="shared" si="0"/>
        <v>5.289E-2</v>
      </c>
      <c r="G38" s="300">
        <v>5.289E-2</v>
      </c>
      <c r="H38" s="398">
        <v>0</v>
      </c>
      <c r="J38" s="382">
        <f t="shared" si="1"/>
        <v>0</v>
      </c>
    </row>
    <row r="39" spans="2:10" ht="24" x14ac:dyDescent="0.2">
      <c r="B39" s="376">
        <v>34</v>
      </c>
      <c r="C39" s="377" t="s">
        <v>585</v>
      </c>
      <c r="D39" s="387" t="s">
        <v>607</v>
      </c>
      <c r="E39" s="206">
        <f>0.098769+0.034569</f>
        <v>0.13333800000000001</v>
      </c>
      <c r="F39" s="98">
        <f t="shared" si="0"/>
        <v>8.0002000000000004E-2</v>
      </c>
      <c r="G39" s="300">
        <v>8.0002000000000004E-2</v>
      </c>
      <c r="H39" s="398">
        <v>0</v>
      </c>
      <c r="J39" s="382">
        <f t="shared" si="1"/>
        <v>0</v>
      </c>
    </row>
    <row r="40" spans="2:10" ht="36" x14ac:dyDescent="0.2">
      <c r="B40" s="376">
        <v>35</v>
      </c>
      <c r="C40" s="377" t="s">
        <v>586</v>
      </c>
      <c r="D40" s="387" t="s">
        <v>608</v>
      </c>
      <c r="E40" s="206">
        <f>0.042626+0.014919</f>
        <v>5.7544999999999999E-2</v>
      </c>
      <c r="F40" s="98">
        <f t="shared" si="0"/>
        <v>0</v>
      </c>
      <c r="G40" s="300">
        <v>0</v>
      </c>
      <c r="H40" s="398">
        <v>0</v>
      </c>
      <c r="J40" s="382">
        <f t="shared" si="1"/>
        <v>0</v>
      </c>
    </row>
    <row r="41" spans="2:10" ht="15" customHeight="1" x14ac:dyDescent="0.2">
      <c r="B41" s="376">
        <v>36</v>
      </c>
      <c r="C41" s="377" t="s">
        <v>587</v>
      </c>
      <c r="D41" s="386" t="s">
        <v>588</v>
      </c>
      <c r="E41" s="206">
        <v>4.9027000000000001E-2</v>
      </c>
      <c r="F41" s="98">
        <f t="shared" si="0"/>
        <v>0</v>
      </c>
      <c r="G41" s="300">
        <v>0</v>
      </c>
      <c r="H41" s="398">
        <v>0</v>
      </c>
      <c r="J41" s="382">
        <f t="shared" si="1"/>
        <v>0</v>
      </c>
    </row>
    <row r="42" spans="2:10" ht="15" customHeight="1" x14ac:dyDescent="0.2">
      <c r="B42" s="376">
        <v>37</v>
      </c>
      <c r="C42" s="377" t="s">
        <v>589</v>
      </c>
      <c r="D42" s="386" t="s">
        <v>590</v>
      </c>
      <c r="E42" s="206">
        <v>8.7069999999999995E-2</v>
      </c>
      <c r="F42" s="98">
        <f t="shared" si="0"/>
        <v>0</v>
      </c>
      <c r="G42" s="300">
        <v>0</v>
      </c>
      <c r="H42" s="398">
        <v>0</v>
      </c>
      <c r="J42" s="382">
        <f t="shared" si="1"/>
        <v>0</v>
      </c>
    </row>
    <row r="43" spans="2:10" ht="15" customHeight="1" x14ac:dyDescent="0.2">
      <c r="B43" s="376">
        <v>38</v>
      </c>
      <c r="C43" s="377" t="s">
        <v>591</v>
      </c>
      <c r="D43" s="386" t="s">
        <v>592</v>
      </c>
      <c r="E43" s="206">
        <v>1.2758E-2</v>
      </c>
      <c r="F43" s="98">
        <f t="shared" si="0"/>
        <v>0</v>
      </c>
      <c r="G43" s="300">
        <v>0</v>
      </c>
      <c r="H43" s="398">
        <v>0</v>
      </c>
      <c r="J43" s="382">
        <f t="shared" si="1"/>
        <v>0</v>
      </c>
    </row>
    <row r="44" spans="2:10" ht="15" customHeight="1" x14ac:dyDescent="0.2">
      <c r="B44" s="376">
        <v>39</v>
      </c>
      <c r="C44" s="377" t="s">
        <v>593</v>
      </c>
      <c r="D44" s="386" t="s">
        <v>594</v>
      </c>
      <c r="E44" s="206">
        <v>1.112E-2</v>
      </c>
      <c r="F44" s="98">
        <f t="shared" si="0"/>
        <v>0</v>
      </c>
      <c r="G44" s="300">
        <v>0</v>
      </c>
      <c r="H44" s="398">
        <v>0</v>
      </c>
      <c r="J44" s="382">
        <f t="shared" si="1"/>
        <v>0</v>
      </c>
    </row>
    <row r="45" spans="2:10" ht="15" customHeight="1" x14ac:dyDescent="0.2">
      <c r="B45" s="376">
        <v>40</v>
      </c>
      <c r="C45" s="377" t="s">
        <v>595</v>
      </c>
      <c r="D45" s="386" t="s">
        <v>596</v>
      </c>
      <c r="E45" s="206">
        <v>2.5558999999999998E-2</v>
      </c>
      <c r="F45" s="98">
        <f t="shared" si="0"/>
        <v>0</v>
      </c>
      <c r="G45" s="300">
        <v>0</v>
      </c>
      <c r="H45" s="398">
        <v>0</v>
      </c>
      <c r="J45" s="382">
        <f t="shared" si="1"/>
        <v>0</v>
      </c>
    </row>
    <row r="46" spans="2:10" ht="15" customHeight="1" x14ac:dyDescent="0.2">
      <c r="B46" s="376">
        <v>41</v>
      </c>
      <c r="C46" s="377" t="s">
        <v>597</v>
      </c>
      <c r="D46" s="386" t="s">
        <v>598</v>
      </c>
      <c r="E46" s="206">
        <v>0.11816</v>
      </c>
      <c r="F46" s="98">
        <f t="shared" si="0"/>
        <v>0</v>
      </c>
      <c r="G46" s="300">
        <v>0</v>
      </c>
      <c r="H46" s="398">
        <v>0</v>
      </c>
      <c r="J46" s="382">
        <f t="shared" si="1"/>
        <v>0</v>
      </c>
    </row>
    <row r="47" spans="2:10" ht="15" customHeight="1" x14ac:dyDescent="0.2">
      <c r="B47" s="376">
        <v>42</v>
      </c>
      <c r="C47" s="377" t="s">
        <v>599</v>
      </c>
      <c r="D47" s="386" t="s">
        <v>600</v>
      </c>
      <c r="E47" s="206">
        <v>7.1388999999999994E-2</v>
      </c>
      <c r="F47" s="98">
        <f t="shared" si="0"/>
        <v>0</v>
      </c>
      <c r="G47" s="300">
        <v>0</v>
      </c>
      <c r="H47" s="398">
        <v>0</v>
      </c>
      <c r="J47" s="382">
        <f t="shared" si="1"/>
        <v>0</v>
      </c>
    </row>
    <row r="48" spans="2:10" ht="15" customHeight="1" x14ac:dyDescent="0.2">
      <c r="B48" s="376">
        <v>43</v>
      </c>
      <c r="C48" s="377" t="s">
        <v>601</v>
      </c>
      <c r="D48" s="386" t="s">
        <v>602</v>
      </c>
      <c r="E48" s="206">
        <v>8.5339999999999999E-3</v>
      </c>
      <c r="F48" s="98">
        <f t="shared" si="0"/>
        <v>0</v>
      </c>
      <c r="G48" s="300">
        <v>0</v>
      </c>
      <c r="H48" s="398">
        <v>0</v>
      </c>
      <c r="J48" s="382">
        <f t="shared" si="1"/>
        <v>0</v>
      </c>
    </row>
    <row r="49" spans="2:10" ht="15" customHeight="1" x14ac:dyDescent="0.2">
      <c r="B49" s="100"/>
      <c r="C49" s="389"/>
      <c r="D49" s="379" t="s">
        <v>233</v>
      </c>
      <c r="E49" s="388">
        <f>+(SUM(E6:E48)-5.4091)*-1</f>
        <v>3.2000000000032003E-5</v>
      </c>
      <c r="F49" s="98">
        <f t="shared" si="0"/>
        <v>0</v>
      </c>
      <c r="G49" s="300">
        <v>0</v>
      </c>
      <c r="H49" s="398">
        <v>0</v>
      </c>
      <c r="J49" s="382">
        <f t="shared" si="1"/>
        <v>0</v>
      </c>
    </row>
    <row r="50" spans="2:10" ht="15" customHeight="1" thickBot="1" x14ac:dyDescent="0.25">
      <c r="B50" s="687" t="s">
        <v>12</v>
      </c>
      <c r="C50" s="688"/>
      <c r="D50" s="688"/>
      <c r="E50" s="399">
        <f>SUM(E6:E49)</f>
        <v>5.4090999999999996</v>
      </c>
      <c r="F50" s="400">
        <f>SUM(F6:F49)</f>
        <v>5.4090999999999996</v>
      </c>
      <c r="G50" s="400">
        <f>SUM(G6:G49)</f>
        <v>5.4090999999999996</v>
      </c>
      <c r="H50" s="401">
        <f>SUM(H6:H49)</f>
        <v>0</v>
      </c>
      <c r="J50" s="395"/>
    </row>
    <row r="51" spans="2:10" ht="15" x14ac:dyDescent="0.2">
      <c r="B51" s="207" t="s">
        <v>64</v>
      </c>
      <c r="C51" s="208"/>
      <c r="D51" s="208"/>
      <c r="E51" s="267"/>
      <c r="F51" s="267"/>
      <c r="G51" s="267"/>
      <c r="H51" s="209"/>
    </row>
    <row r="52" spans="2:10" ht="15" x14ac:dyDescent="0.2">
      <c r="B52" s="207"/>
      <c r="C52" s="208"/>
      <c r="D52" s="208"/>
      <c r="E52" s="267"/>
      <c r="F52" s="267"/>
      <c r="G52" s="267"/>
      <c r="H52" s="209"/>
    </row>
    <row r="53" spans="2:10" ht="15.95" customHeight="1" x14ac:dyDescent="0.2">
      <c r="C53" s="646" t="s">
        <v>119</v>
      </c>
      <c r="D53" s="646"/>
      <c r="E53" s="673" t="s">
        <v>120</v>
      </c>
      <c r="F53" s="673"/>
      <c r="G53" s="674"/>
      <c r="H53" s="675"/>
    </row>
    <row r="54" spans="2:10" x14ac:dyDescent="0.2">
      <c r="C54" s="648" t="str">
        <f>+'ÖN BİLGİ'!F13</f>
        <v>Özbulut Yapı Taah.İnş.Gıda San.ve Tic.Ltd.Şti.</v>
      </c>
      <c r="D54" s="648"/>
      <c r="E54" s="679" t="s">
        <v>775</v>
      </c>
      <c r="F54" s="679"/>
      <c r="G54" s="648"/>
      <c r="H54" s="648"/>
    </row>
    <row r="55" spans="2:10" ht="15" customHeight="1" thickBot="1" x14ac:dyDescent="0.25">
      <c r="C55" s="648"/>
      <c r="D55" s="648"/>
      <c r="E55" s="679" t="s">
        <v>776</v>
      </c>
      <c r="F55" s="679"/>
      <c r="G55" s="648"/>
      <c r="H55" s="648"/>
    </row>
    <row r="56" spans="2:10" ht="32.1" customHeight="1" thickBot="1" x14ac:dyDescent="0.25">
      <c r="B56" s="676" t="s">
        <v>116</v>
      </c>
      <c r="C56" s="677"/>
      <c r="D56" s="677"/>
      <c r="E56" s="677"/>
      <c r="F56" s="677"/>
      <c r="G56" s="677"/>
      <c r="H56" s="678"/>
    </row>
    <row r="57" spans="2:10" ht="32.1" customHeight="1" thickBot="1" x14ac:dyDescent="0.25">
      <c r="B57" s="667" t="str">
        <f>+B2</f>
        <v xml:space="preserve">Araklı Çankaya Yibo Lojman İnşaatı İşi </v>
      </c>
      <c r="C57" s="668"/>
      <c r="D57" s="668"/>
      <c r="E57" s="668"/>
      <c r="F57" s="668"/>
      <c r="G57" s="668"/>
      <c r="H57" s="669"/>
    </row>
    <row r="58" spans="2:10" ht="16.5" thickBot="1" x14ac:dyDescent="0.25">
      <c r="B58" s="667"/>
      <c r="C58" s="668"/>
      <c r="D58" s="668"/>
      <c r="E58" s="668"/>
      <c r="F58" s="668"/>
      <c r="G58" s="419" t="s">
        <v>190</v>
      </c>
      <c r="H58" s="290">
        <v>1</v>
      </c>
    </row>
    <row r="59" spans="2:10" ht="23.25" customHeight="1" thickBot="1" x14ac:dyDescent="0.25">
      <c r="B59" s="670" t="s">
        <v>613</v>
      </c>
      <c r="C59" s="671"/>
      <c r="D59" s="671"/>
      <c r="E59" s="671"/>
      <c r="F59" s="671"/>
      <c r="G59" s="417" t="s">
        <v>189</v>
      </c>
      <c r="H59" s="418" t="str">
        <f>+'ÖN BİLGİ'!F6</f>
        <v>5(Beş)</v>
      </c>
    </row>
    <row r="60" spans="2:10" ht="42.75" x14ac:dyDescent="0.2">
      <c r="B60" s="105" t="s">
        <v>15</v>
      </c>
      <c r="C60" s="105" t="s">
        <v>17</v>
      </c>
      <c r="D60" s="105" t="s">
        <v>16</v>
      </c>
      <c r="E60" s="390" t="s">
        <v>124</v>
      </c>
      <c r="F60" s="390" t="s">
        <v>125</v>
      </c>
      <c r="G60" s="390" t="s">
        <v>126</v>
      </c>
      <c r="H60" s="105" t="s">
        <v>127</v>
      </c>
      <c r="J60" s="266" t="s">
        <v>206</v>
      </c>
    </row>
    <row r="61" spans="2:10" x14ac:dyDescent="0.2">
      <c r="B61" s="420">
        <v>1</v>
      </c>
      <c r="C61" s="377" t="s">
        <v>614</v>
      </c>
      <c r="D61" s="386" t="s">
        <v>615</v>
      </c>
      <c r="E61" s="421">
        <v>0.93059700000000001</v>
      </c>
      <c r="F61" s="98">
        <v>0.93059700000000001</v>
      </c>
      <c r="G61" s="300">
        <v>0.93059700000000001</v>
      </c>
      <c r="H61" s="206">
        <v>0</v>
      </c>
      <c r="J61" s="382">
        <f>+E61-F61</f>
        <v>0</v>
      </c>
    </row>
    <row r="62" spans="2:10" x14ac:dyDescent="0.2">
      <c r="B62" s="420">
        <v>2</v>
      </c>
      <c r="C62" s="377" t="s">
        <v>616</v>
      </c>
      <c r="D62" s="386" t="s">
        <v>617</v>
      </c>
      <c r="E62" s="421">
        <v>3.9192999999999999E-2</v>
      </c>
      <c r="F62" s="98">
        <v>3.9192999999999999E-2</v>
      </c>
      <c r="G62" s="300">
        <v>3.9192999999999999E-2</v>
      </c>
      <c r="H62" s="206">
        <v>0</v>
      </c>
      <c r="J62" s="382">
        <f t="shared" ref="J62:J103" si="2">+E62-F62</f>
        <v>0</v>
      </c>
    </row>
    <row r="63" spans="2:10" x14ac:dyDescent="0.2">
      <c r="B63" s="420">
        <v>3</v>
      </c>
      <c r="C63" s="377" t="s">
        <v>618</v>
      </c>
      <c r="D63" s="386" t="s">
        <v>619</v>
      </c>
      <c r="E63" s="421">
        <v>2.4424000000000001E-2</v>
      </c>
      <c r="F63" s="98">
        <v>2.4424000000000001E-2</v>
      </c>
      <c r="G63" s="300">
        <v>2.4424000000000001E-2</v>
      </c>
      <c r="H63" s="206">
        <v>0</v>
      </c>
      <c r="J63" s="382">
        <f t="shared" si="2"/>
        <v>0</v>
      </c>
    </row>
    <row r="64" spans="2:10" x14ac:dyDescent="0.2">
      <c r="B64" s="420">
        <v>4</v>
      </c>
      <c r="C64" s="377" t="s">
        <v>620</v>
      </c>
      <c r="D64" s="386" t="s">
        <v>621</v>
      </c>
      <c r="E64" s="421">
        <v>2.6940000000000002E-3</v>
      </c>
      <c r="F64" s="98">
        <v>2.6940000000000002E-3</v>
      </c>
      <c r="G64" s="300">
        <v>2.6940000000000002E-3</v>
      </c>
      <c r="H64" s="206">
        <v>0</v>
      </c>
      <c r="J64" s="382">
        <f t="shared" si="2"/>
        <v>0</v>
      </c>
    </row>
    <row r="65" spans="2:10" x14ac:dyDescent="0.2">
      <c r="B65" s="420">
        <v>5</v>
      </c>
      <c r="C65" s="377" t="s">
        <v>622</v>
      </c>
      <c r="D65" s="386" t="s">
        <v>623</v>
      </c>
      <c r="E65" s="421">
        <v>7.241E-3</v>
      </c>
      <c r="F65" s="98">
        <v>7.241E-3</v>
      </c>
      <c r="G65" s="300">
        <v>7.241E-3</v>
      </c>
      <c r="H65" s="206">
        <v>0</v>
      </c>
      <c r="J65" s="382">
        <f t="shared" si="2"/>
        <v>0</v>
      </c>
    </row>
    <row r="66" spans="2:10" x14ac:dyDescent="0.2">
      <c r="B66" s="420">
        <v>6</v>
      </c>
      <c r="C66" s="377" t="s">
        <v>624</v>
      </c>
      <c r="D66" s="386" t="s">
        <v>625</v>
      </c>
      <c r="E66" s="421">
        <v>3.6350000000000002E-3</v>
      </c>
      <c r="F66" s="98">
        <v>3.6350000000000002E-3</v>
      </c>
      <c r="G66" s="300">
        <v>3.6350000000000002E-3</v>
      </c>
      <c r="H66" s="206">
        <v>0</v>
      </c>
      <c r="J66" s="382">
        <f t="shared" si="2"/>
        <v>0</v>
      </c>
    </row>
    <row r="67" spans="2:10" x14ac:dyDescent="0.2">
      <c r="B67" s="420">
        <v>7</v>
      </c>
      <c r="C67" s="377" t="s">
        <v>626</v>
      </c>
      <c r="D67" s="386" t="s">
        <v>627</v>
      </c>
      <c r="E67" s="421">
        <v>1.1991510000000001</v>
      </c>
      <c r="F67" s="98">
        <v>1.1991510000000001</v>
      </c>
      <c r="G67" s="300">
        <v>1.1991510000000001</v>
      </c>
      <c r="H67" s="206">
        <v>0</v>
      </c>
      <c r="J67" s="382">
        <f t="shared" si="2"/>
        <v>0</v>
      </c>
    </row>
    <row r="68" spans="2:10" ht="24" x14ac:dyDescent="0.2">
      <c r="B68" s="420">
        <v>8</v>
      </c>
      <c r="C68" s="377" t="s">
        <v>628</v>
      </c>
      <c r="D68" s="387" t="s">
        <v>684</v>
      </c>
      <c r="E68" s="421">
        <v>0.23058799999999999</v>
      </c>
      <c r="F68" s="98">
        <v>0.23058799999999999</v>
      </c>
      <c r="G68" s="300">
        <v>0.23058799999999999</v>
      </c>
      <c r="H68" s="206">
        <v>0</v>
      </c>
      <c r="J68" s="382">
        <f t="shared" si="2"/>
        <v>0</v>
      </c>
    </row>
    <row r="69" spans="2:10" x14ac:dyDescent="0.2">
      <c r="B69" s="420">
        <v>9</v>
      </c>
      <c r="C69" s="377" t="s">
        <v>629</v>
      </c>
      <c r="D69" s="386" t="s">
        <v>630</v>
      </c>
      <c r="E69" s="421">
        <v>5.9478999999999997E-2</v>
      </c>
      <c r="F69" s="98">
        <v>5.9478999999999997E-2</v>
      </c>
      <c r="G69" s="300">
        <v>5.9478999999999997E-2</v>
      </c>
      <c r="H69" s="206">
        <v>0</v>
      </c>
      <c r="J69" s="382">
        <f t="shared" si="2"/>
        <v>0</v>
      </c>
    </row>
    <row r="70" spans="2:10" x14ac:dyDescent="0.2">
      <c r="B70" s="420">
        <v>10</v>
      </c>
      <c r="C70" s="377" t="s">
        <v>631</v>
      </c>
      <c r="D70" s="386" t="s">
        <v>632</v>
      </c>
      <c r="E70" s="421">
        <v>0.245673</v>
      </c>
      <c r="F70" s="98">
        <v>0.245673</v>
      </c>
      <c r="G70" s="300">
        <v>0.245673</v>
      </c>
      <c r="H70" s="206">
        <v>0</v>
      </c>
      <c r="J70" s="382">
        <f t="shared" si="2"/>
        <v>0</v>
      </c>
    </row>
    <row r="71" spans="2:10" x14ac:dyDescent="0.2">
      <c r="B71" s="420">
        <v>11</v>
      </c>
      <c r="C71" s="377" t="s">
        <v>633</v>
      </c>
      <c r="D71" s="386" t="s">
        <v>634</v>
      </c>
      <c r="E71" s="421">
        <v>6.9370000000000001E-2</v>
      </c>
      <c r="F71" s="98">
        <v>6.9370000000000001E-2</v>
      </c>
      <c r="G71" s="300">
        <v>6.9370000000000001E-2</v>
      </c>
      <c r="H71" s="206">
        <v>0</v>
      </c>
      <c r="J71" s="382">
        <f t="shared" si="2"/>
        <v>0</v>
      </c>
    </row>
    <row r="72" spans="2:10" x14ac:dyDescent="0.2">
      <c r="B72" s="420">
        <v>12</v>
      </c>
      <c r="C72" s="377" t="s">
        <v>635</v>
      </c>
      <c r="D72" s="386" t="s">
        <v>636</v>
      </c>
      <c r="E72" s="421">
        <v>2.2855E-2</v>
      </c>
      <c r="F72" s="98">
        <v>2.2855E-2</v>
      </c>
      <c r="G72" s="300">
        <v>2.2855E-2</v>
      </c>
      <c r="H72" s="206">
        <v>0</v>
      </c>
      <c r="J72" s="382">
        <f t="shared" si="2"/>
        <v>0</v>
      </c>
    </row>
    <row r="73" spans="2:10" x14ac:dyDescent="0.2">
      <c r="B73" s="420">
        <v>13</v>
      </c>
      <c r="C73" s="377" t="s">
        <v>637</v>
      </c>
      <c r="D73" s="386" t="s">
        <v>638</v>
      </c>
      <c r="E73" s="421">
        <v>3.5920000000000001E-3</v>
      </c>
      <c r="F73" s="98">
        <v>3.5920000000000001E-3</v>
      </c>
      <c r="G73" s="300">
        <v>3.5920000000000001E-3</v>
      </c>
      <c r="H73" s="206">
        <v>0</v>
      </c>
      <c r="J73" s="382">
        <f t="shared" si="2"/>
        <v>0</v>
      </c>
    </row>
    <row r="74" spans="2:10" x14ac:dyDescent="0.2">
      <c r="B74" s="420">
        <v>14</v>
      </c>
      <c r="C74" s="377" t="s">
        <v>639</v>
      </c>
      <c r="D74" s="386" t="s">
        <v>640</v>
      </c>
      <c r="E74" s="421">
        <v>6.293E-3</v>
      </c>
      <c r="F74" s="98">
        <v>6.293E-3</v>
      </c>
      <c r="G74" s="300">
        <v>6.293E-3</v>
      </c>
      <c r="H74" s="206">
        <v>0</v>
      </c>
      <c r="J74" s="382">
        <f t="shared" si="2"/>
        <v>0</v>
      </c>
    </row>
    <row r="75" spans="2:10" x14ac:dyDescent="0.2">
      <c r="B75" s="420">
        <v>15</v>
      </c>
      <c r="C75" s="377" t="s">
        <v>641</v>
      </c>
      <c r="D75" s="386" t="s">
        <v>642</v>
      </c>
      <c r="E75" s="421">
        <v>2.9880000000000002E-3</v>
      </c>
      <c r="F75" s="98">
        <v>2.9880000000000002E-3</v>
      </c>
      <c r="G75" s="300">
        <v>2.9880000000000002E-3</v>
      </c>
      <c r="H75" s="206">
        <v>0</v>
      </c>
      <c r="J75" s="382">
        <f t="shared" si="2"/>
        <v>0</v>
      </c>
    </row>
    <row r="76" spans="2:10" x14ac:dyDescent="0.2">
      <c r="B76" s="420">
        <v>16</v>
      </c>
      <c r="C76" s="377" t="s">
        <v>643</v>
      </c>
      <c r="D76" s="386" t="s">
        <v>644</v>
      </c>
      <c r="E76" s="421">
        <v>0.117024</v>
      </c>
      <c r="F76" s="98">
        <v>0.117024</v>
      </c>
      <c r="G76" s="300">
        <v>0.117024</v>
      </c>
      <c r="H76" s="206">
        <v>0</v>
      </c>
      <c r="J76" s="382">
        <f t="shared" si="2"/>
        <v>0</v>
      </c>
    </row>
    <row r="77" spans="2:10" x14ac:dyDescent="0.2">
      <c r="B77" s="420">
        <v>17</v>
      </c>
      <c r="C77" s="377" t="s">
        <v>645</v>
      </c>
      <c r="D77" s="386" t="s">
        <v>646</v>
      </c>
      <c r="E77" s="421">
        <v>3.7942999999999998E-2</v>
      </c>
      <c r="F77" s="98">
        <v>3.7942999999999998E-2</v>
      </c>
      <c r="G77" s="300">
        <v>3.7942999999999998E-2</v>
      </c>
      <c r="H77" s="206">
        <v>0</v>
      </c>
      <c r="J77" s="382">
        <f t="shared" si="2"/>
        <v>0</v>
      </c>
    </row>
    <row r="78" spans="2:10" x14ac:dyDescent="0.2">
      <c r="B78" s="420">
        <v>18</v>
      </c>
      <c r="C78" s="377" t="s">
        <v>647</v>
      </c>
      <c r="D78" s="386" t="s">
        <v>648</v>
      </c>
      <c r="E78" s="421">
        <f>0.009453+0.002836</f>
        <v>1.2289E-2</v>
      </c>
      <c r="F78" s="98">
        <v>1.2289E-2</v>
      </c>
      <c r="G78" s="300">
        <v>1.2289E-2</v>
      </c>
      <c r="H78" s="206">
        <v>0</v>
      </c>
      <c r="J78" s="382">
        <f t="shared" si="2"/>
        <v>0</v>
      </c>
    </row>
    <row r="79" spans="2:10" x14ac:dyDescent="0.2">
      <c r="B79" s="420">
        <v>19</v>
      </c>
      <c r="C79" s="377" t="s">
        <v>649</v>
      </c>
      <c r="D79" s="386" t="s">
        <v>650</v>
      </c>
      <c r="E79" s="421">
        <f>0.012643+0.003793</f>
        <v>1.6435999999999999E-2</v>
      </c>
      <c r="F79" s="98">
        <v>1.6435999999999999E-2</v>
      </c>
      <c r="G79" s="300">
        <v>1.6435999999999999E-2</v>
      </c>
      <c r="H79" s="206">
        <v>0</v>
      </c>
      <c r="J79" s="382">
        <f t="shared" si="2"/>
        <v>0</v>
      </c>
    </row>
    <row r="80" spans="2:10" x14ac:dyDescent="0.2">
      <c r="B80" s="420">
        <v>20</v>
      </c>
      <c r="C80" s="377" t="s">
        <v>651</v>
      </c>
      <c r="D80" s="386" t="s">
        <v>652</v>
      </c>
      <c r="E80" s="421">
        <f>0.032886+0.009866</f>
        <v>4.2751999999999998E-2</v>
      </c>
      <c r="F80" s="98">
        <v>4.2751999999999998E-2</v>
      </c>
      <c r="G80" s="300">
        <v>4.2751999999999998E-2</v>
      </c>
      <c r="H80" s="206">
        <v>0</v>
      </c>
      <c r="J80" s="382">
        <f t="shared" si="2"/>
        <v>0</v>
      </c>
    </row>
    <row r="81" spans="2:13" x14ac:dyDescent="0.2">
      <c r="B81" s="420">
        <v>21</v>
      </c>
      <c r="C81" s="377" t="s">
        <v>653</v>
      </c>
      <c r="D81" s="386" t="s">
        <v>654</v>
      </c>
      <c r="E81" s="421">
        <f>0.01839+0.005517</f>
        <v>2.3907000000000001E-2</v>
      </c>
      <c r="F81" s="98">
        <v>2.3907000000000001E-2</v>
      </c>
      <c r="G81" s="300">
        <v>2.3907000000000001E-2</v>
      </c>
      <c r="H81" s="206">
        <v>0</v>
      </c>
      <c r="J81" s="382">
        <f t="shared" si="2"/>
        <v>0</v>
      </c>
    </row>
    <row r="82" spans="2:13" x14ac:dyDescent="0.2">
      <c r="B82" s="420">
        <v>22</v>
      </c>
      <c r="C82" s="377" t="s">
        <v>655</v>
      </c>
      <c r="D82" s="386" t="s">
        <v>656</v>
      </c>
      <c r="E82" s="421">
        <f>0.071709+0.021513</f>
        <v>9.3221999999999999E-2</v>
      </c>
      <c r="F82" s="98">
        <v>9.3221999999999999E-2</v>
      </c>
      <c r="G82" s="300">
        <v>9.3221999999999999E-2</v>
      </c>
      <c r="H82" s="206">
        <v>0</v>
      </c>
      <c r="J82" s="382">
        <f t="shared" si="2"/>
        <v>0</v>
      </c>
    </row>
    <row r="83" spans="2:13" ht="24" x14ac:dyDescent="0.2">
      <c r="B83" s="420">
        <v>23</v>
      </c>
      <c r="C83" s="377" t="s">
        <v>585</v>
      </c>
      <c r="D83" s="387" t="s">
        <v>685</v>
      </c>
      <c r="E83" s="421">
        <f>0.004228+0.00148</f>
        <v>5.7079999999999995E-3</v>
      </c>
      <c r="F83" s="98">
        <v>5.7079999999999995E-3</v>
      </c>
      <c r="G83" s="300">
        <v>5.7079999999999995E-3</v>
      </c>
      <c r="H83" s="206">
        <v>0</v>
      </c>
      <c r="J83" s="382">
        <f t="shared" si="2"/>
        <v>0</v>
      </c>
    </row>
    <row r="84" spans="2:13" x14ac:dyDescent="0.2">
      <c r="B84" s="420">
        <v>24</v>
      </c>
      <c r="C84" s="377" t="s">
        <v>657</v>
      </c>
      <c r="D84" s="386" t="s">
        <v>658</v>
      </c>
      <c r="E84" s="421">
        <v>3.7499999999999999E-3</v>
      </c>
      <c r="F84" s="98">
        <v>3.7499999999999999E-3</v>
      </c>
      <c r="G84" s="300">
        <v>3.7499999999999999E-3</v>
      </c>
      <c r="H84" s="206">
        <v>0</v>
      </c>
      <c r="J84" s="382">
        <f t="shared" si="2"/>
        <v>0</v>
      </c>
    </row>
    <row r="85" spans="2:13" ht="24" x14ac:dyDescent="0.2">
      <c r="B85" s="420">
        <v>25</v>
      </c>
      <c r="C85" s="377" t="s">
        <v>659</v>
      </c>
      <c r="D85" s="387" t="s">
        <v>686</v>
      </c>
      <c r="E85" s="421">
        <v>0.96433100000000005</v>
      </c>
      <c r="F85" s="98">
        <v>0.96433100000000005</v>
      </c>
      <c r="G85" s="300">
        <v>0.96433100000000005</v>
      </c>
      <c r="H85" s="206">
        <v>0</v>
      </c>
      <c r="J85" s="382">
        <f t="shared" si="2"/>
        <v>0</v>
      </c>
      <c r="M85" s="435"/>
    </row>
    <row r="86" spans="2:13" ht="24" x14ac:dyDescent="0.2">
      <c r="B86" s="420">
        <v>26</v>
      </c>
      <c r="C86" s="377" t="s">
        <v>660</v>
      </c>
      <c r="D86" s="387" t="s">
        <v>687</v>
      </c>
      <c r="E86" s="421">
        <v>9.0299999999999998E-3</v>
      </c>
      <c r="F86" s="98">
        <v>9.0299999999999998E-3</v>
      </c>
      <c r="G86" s="300">
        <v>9.0299999999999998E-3</v>
      </c>
      <c r="H86" s="206">
        <v>0</v>
      </c>
      <c r="J86" s="382">
        <f t="shared" si="2"/>
        <v>0</v>
      </c>
    </row>
    <row r="87" spans="2:13" ht="24" x14ac:dyDescent="0.2">
      <c r="B87" s="420">
        <v>27</v>
      </c>
      <c r="C87" s="377" t="s">
        <v>661</v>
      </c>
      <c r="D87" s="387" t="s">
        <v>688</v>
      </c>
      <c r="E87" s="421">
        <v>9.0625999999999998E-2</v>
      </c>
      <c r="F87" s="98">
        <v>9.0625999999999998E-2</v>
      </c>
      <c r="G87" s="300">
        <v>9.0625999999999998E-2</v>
      </c>
      <c r="H87" s="206">
        <v>0</v>
      </c>
      <c r="J87" s="382">
        <f t="shared" si="2"/>
        <v>0</v>
      </c>
    </row>
    <row r="88" spans="2:13" ht="24" x14ac:dyDescent="0.2">
      <c r="B88" s="420">
        <v>28</v>
      </c>
      <c r="C88" s="377" t="s">
        <v>662</v>
      </c>
      <c r="D88" s="387" t="s">
        <v>689</v>
      </c>
      <c r="E88" s="421">
        <v>0.177229</v>
      </c>
      <c r="F88" s="98">
        <v>0.177229</v>
      </c>
      <c r="G88" s="300">
        <v>0.177229</v>
      </c>
      <c r="H88" s="206">
        <v>0</v>
      </c>
      <c r="J88" s="382">
        <f t="shared" si="2"/>
        <v>0</v>
      </c>
    </row>
    <row r="89" spans="2:13" ht="24" x14ac:dyDescent="0.2">
      <c r="B89" s="420">
        <v>29</v>
      </c>
      <c r="C89" s="377" t="s">
        <v>663</v>
      </c>
      <c r="D89" s="387" t="s">
        <v>690</v>
      </c>
      <c r="E89" s="421">
        <v>7.0253999999999997E-2</v>
      </c>
      <c r="F89" s="98">
        <v>7.0253999999999997E-2</v>
      </c>
      <c r="G89" s="300">
        <v>7.0253999999999997E-2</v>
      </c>
      <c r="H89" s="206">
        <v>0</v>
      </c>
      <c r="J89" s="382">
        <f t="shared" si="2"/>
        <v>0</v>
      </c>
    </row>
    <row r="90" spans="2:13" ht="24" x14ac:dyDescent="0.2">
      <c r="B90" s="420">
        <v>30</v>
      </c>
      <c r="C90" s="377" t="s">
        <v>664</v>
      </c>
      <c r="D90" s="387" t="s">
        <v>691</v>
      </c>
      <c r="E90" s="421">
        <v>0.109906</v>
      </c>
      <c r="F90" s="98">
        <v>0.109906</v>
      </c>
      <c r="G90" s="300">
        <v>0.109906</v>
      </c>
      <c r="H90" s="206">
        <v>0</v>
      </c>
      <c r="J90" s="382">
        <f t="shared" si="2"/>
        <v>0</v>
      </c>
    </row>
    <row r="91" spans="2:13" ht="24" x14ac:dyDescent="0.2">
      <c r="B91" s="420">
        <v>31</v>
      </c>
      <c r="C91" s="377" t="s">
        <v>665</v>
      </c>
      <c r="D91" s="387" t="s">
        <v>692</v>
      </c>
      <c r="E91" s="421">
        <v>0.22058800000000001</v>
      </c>
      <c r="F91" s="98">
        <v>0.22058800000000001</v>
      </c>
      <c r="G91" s="300">
        <v>0.22058800000000001</v>
      </c>
      <c r="H91" s="206">
        <v>0</v>
      </c>
      <c r="J91" s="382">
        <f t="shared" si="2"/>
        <v>0</v>
      </c>
    </row>
    <row r="92" spans="2:13" x14ac:dyDescent="0.2">
      <c r="B92" s="420">
        <v>32</v>
      </c>
      <c r="C92" s="377" t="s">
        <v>597</v>
      </c>
      <c r="D92" s="386" t="s">
        <v>598</v>
      </c>
      <c r="E92" s="421">
        <v>0</v>
      </c>
      <c r="F92" s="98">
        <v>0</v>
      </c>
      <c r="G92" s="300">
        <v>0</v>
      </c>
      <c r="H92" s="206">
        <v>0</v>
      </c>
      <c r="J92" s="382">
        <f t="shared" si="2"/>
        <v>0</v>
      </c>
    </row>
    <row r="93" spans="2:13" x14ac:dyDescent="0.2">
      <c r="B93" s="420">
        <v>33</v>
      </c>
      <c r="C93" s="377" t="s">
        <v>666</v>
      </c>
      <c r="D93" s="386" t="s">
        <v>667</v>
      </c>
      <c r="E93" s="421">
        <v>0.17410600000000001</v>
      </c>
      <c r="F93" s="98">
        <v>0.17410600000000001</v>
      </c>
      <c r="G93" s="300">
        <v>0.17410600000000001</v>
      </c>
      <c r="H93" s="206">
        <v>0</v>
      </c>
      <c r="J93" s="382">
        <f t="shared" si="2"/>
        <v>0</v>
      </c>
    </row>
    <row r="94" spans="2:13" ht="36" x14ac:dyDescent="0.2">
      <c r="B94" s="420">
        <v>34</v>
      </c>
      <c r="C94" s="377" t="s">
        <v>668</v>
      </c>
      <c r="D94" s="387" t="s">
        <v>693</v>
      </c>
      <c r="E94" s="421">
        <v>2.7185999999999998E-2</v>
      </c>
      <c r="F94" s="98">
        <v>2.7185999999999998E-2</v>
      </c>
      <c r="G94" s="300">
        <v>2.7185999999999998E-2</v>
      </c>
      <c r="H94" s="206">
        <v>0</v>
      </c>
      <c r="J94" s="382">
        <f t="shared" si="2"/>
        <v>0</v>
      </c>
    </row>
    <row r="95" spans="2:13" x14ac:dyDescent="0.2">
      <c r="B95" s="420">
        <v>35</v>
      </c>
      <c r="C95" s="377" t="s">
        <v>669</v>
      </c>
      <c r="D95" s="386" t="s">
        <v>670</v>
      </c>
      <c r="E95" s="421">
        <v>2.4309000000000001E-2</v>
      </c>
      <c r="F95" s="98">
        <v>2.4309000000000001E-2</v>
      </c>
      <c r="G95" s="300">
        <v>2.4309000000000001E-2</v>
      </c>
      <c r="H95" s="206">
        <v>0</v>
      </c>
      <c r="J95" s="382">
        <f t="shared" si="2"/>
        <v>0</v>
      </c>
    </row>
    <row r="96" spans="2:13" x14ac:dyDescent="0.2">
      <c r="B96" s="420">
        <v>36</v>
      </c>
      <c r="C96" s="377" t="s">
        <v>671</v>
      </c>
      <c r="D96" s="386" t="s">
        <v>672</v>
      </c>
      <c r="E96" s="421">
        <v>3.6463000000000002E-2</v>
      </c>
      <c r="F96" s="98">
        <v>3.6463000000000002E-2</v>
      </c>
      <c r="G96" s="300">
        <v>3.6463000000000002E-2</v>
      </c>
      <c r="H96" s="206">
        <v>0</v>
      </c>
      <c r="J96" s="382">
        <f t="shared" si="2"/>
        <v>0</v>
      </c>
    </row>
    <row r="97" spans="2:10" x14ac:dyDescent="0.2">
      <c r="B97" s="420">
        <v>37</v>
      </c>
      <c r="C97" s="377" t="s">
        <v>673</v>
      </c>
      <c r="D97" s="386" t="s">
        <v>674</v>
      </c>
      <c r="E97" s="421">
        <v>8.3088999999999996E-2</v>
      </c>
      <c r="F97" s="98">
        <v>8.3088999999999996E-2</v>
      </c>
      <c r="G97" s="300">
        <v>8.3088999999999996E-2</v>
      </c>
      <c r="H97" s="206">
        <v>0</v>
      </c>
      <c r="J97" s="382">
        <f t="shared" si="2"/>
        <v>0</v>
      </c>
    </row>
    <row r="98" spans="2:10" x14ac:dyDescent="0.2">
      <c r="B98" s="420">
        <v>38</v>
      </c>
      <c r="C98" s="377" t="s">
        <v>675</v>
      </c>
      <c r="D98" s="386" t="s">
        <v>676</v>
      </c>
      <c r="E98" s="421">
        <v>4.1894000000000001E-2</v>
      </c>
      <c r="F98" s="98">
        <v>4.1894000000000001E-2</v>
      </c>
      <c r="G98" s="300">
        <v>4.1894000000000001E-2</v>
      </c>
      <c r="H98" s="206">
        <v>0</v>
      </c>
      <c r="J98" s="382">
        <f t="shared" si="2"/>
        <v>0</v>
      </c>
    </row>
    <row r="99" spans="2:10" x14ac:dyDescent="0.2">
      <c r="B99" s="420">
        <v>39</v>
      </c>
      <c r="C99" s="377" t="s">
        <v>677</v>
      </c>
      <c r="D99" s="386" t="s">
        <v>676</v>
      </c>
      <c r="E99" s="421">
        <v>0.141592</v>
      </c>
      <c r="F99" s="98">
        <v>0.141592</v>
      </c>
      <c r="G99" s="300">
        <v>0.141592</v>
      </c>
      <c r="H99" s="206">
        <v>0</v>
      </c>
      <c r="J99" s="382">
        <f t="shared" si="2"/>
        <v>0</v>
      </c>
    </row>
    <row r="100" spans="2:10" x14ac:dyDescent="0.2">
      <c r="B100" s="420">
        <v>40</v>
      </c>
      <c r="C100" s="377" t="s">
        <v>678</v>
      </c>
      <c r="D100" s="386" t="s">
        <v>679</v>
      </c>
      <c r="E100" s="421">
        <v>2.1994E-2</v>
      </c>
      <c r="F100" s="98">
        <v>2.1994E-2</v>
      </c>
      <c r="G100" s="300">
        <v>2.1994E-2</v>
      </c>
      <c r="H100" s="206">
        <v>0</v>
      </c>
      <c r="J100" s="382">
        <f t="shared" si="2"/>
        <v>0</v>
      </c>
    </row>
    <row r="101" spans="2:10" x14ac:dyDescent="0.2">
      <c r="B101" s="420">
        <v>41</v>
      </c>
      <c r="C101" s="377" t="s">
        <v>680</v>
      </c>
      <c r="D101" s="386" t="s">
        <v>681</v>
      </c>
      <c r="E101" s="421">
        <v>8.5240000000000003E-3</v>
      </c>
      <c r="F101" s="98">
        <v>8.5240000000000003E-3</v>
      </c>
      <c r="G101" s="300">
        <v>8.5240000000000003E-3</v>
      </c>
      <c r="H101" s="206">
        <v>0</v>
      </c>
      <c r="J101" s="382">
        <f t="shared" si="2"/>
        <v>0</v>
      </c>
    </row>
    <row r="102" spans="2:10" x14ac:dyDescent="0.2">
      <c r="B102" s="420">
        <v>42</v>
      </c>
      <c r="C102" s="377" t="s">
        <v>682</v>
      </c>
      <c r="D102" s="386" t="s">
        <v>683</v>
      </c>
      <c r="E102" s="421">
        <v>0.32799899999999999</v>
      </c>
      <c r="F102" s="98">
        <v>0.32799899999999999</v>
      </c>
      <c r="G102" s="300">
        <v>0.32799899999999999</v>
      </c>
      <c r="H102" s="206">
        <v>0</v>
      </c>
      <c r="J102" s="382">
        <f t="shared" si="2"/>
        <v>0</v>
      </c>
    </row>
    <row r="103" spans="2:10" x14ac:dyDescent="0.2">
      <c r="B103" s="265"/>
      <c r="C103" s="422"/>
      <c r="D103" s="379" t="s">
        <v>233</v>
      </c>
      <c r="E103" s="206">
        <f>(SUM(E61:E102)-5.7299)*-1</f>
        <v>-2.4000000001578314E-5</v>
      </c>
      <c r="F103" s="98">
        <v>-2.4000000001578314E-5</v>
      </c>
      <c r="G103" s="300">
        <v>-2.4000000001578314E-5</v>
      </c>
      <c r="H103" s="206">
        <v>0</v>
      </c>
      <c r="J103" s="382">
        <f t="shared" si="2"/>
        <v>0</v>
      </c>
    </row>
    <row r="104" spans="2:10" ht="15" customHeight="1" x14ac:dyDescent="0.2">
      <c r="B104" s="672" t="s">
        <v>12</v>
      </c>
      <c r="C104" s="672"/>
      <c r="D104" s="672"/>
      <c r="E104" s="351">
        <f>SUM(E61:E103)</f>
        <v>5.7298999999999998</v>
      </c>
      <c r="F104" s="352">
        <f>SUM(F61:F103)</f>
        <v>5.7298999999999998</v>
      </c>
      <c r="G104" s="352">
        <f>SUM(G61:G103)</f>
        <v>5.7298999999999998</v>
      </c>
      <c r="H104" s="352">
        <f>SUM(H61:H103)</f>
        <v>0</v>
      </c>
      <c r="J104" s="395"/>
    </row>
    <row r="105" spans="2:10" ht="15" x14ac:dyDescent="0.2">
      <c r="B105" s="207" t="s">
        <v>64</v>
      </c>
      <c r="C105" s="208"/>
      <c r="D105" s="208"/>
      <c r="E105" s="267"/>
      <c r="F105" s="267"/>
      <c r="G105" s="267"/>
      <c r="H105" s="209"/>
    </row>
    <row r="106" spans="2:10" ht="15" x14ac:dyDescent="0.2">
      <c r="B106" s="207"/>
      <c r="C106" s="208"/>
      <c r="D106" s="208"/>
      <c r="E106" s="267"/>
      <c r="F106" s="267"/>
      <c r="G106" s="267"/>
      <c r="H106" s="209"/>
    </row>
    <row r="107" spans="2:10" ht="15.95" customHeight="1" x14ac:dyDescent="0.2">
      <c r="C107" s="646" t="s">
        <v>119</v>
      </c>
      <c r="D107" s="646"/>
      <c r="E107" s="673" t="s">
        <v>120</v>
      </c>
      <c r="F107" s="673"/>
      <c r="G107" s="674"/>
      <c r="H107" s="675"/>
    </row>
    <row r="108" spans="2:10" x14ac:dyDescent="0.2">
      <c r="C108" s="648" t="str">
        <f>+C54</f>
        <v>Özbulut Yapı Taah.İnş.Gıda San.ve Tic.Ltd.Şti.</v>
      </c>
      <c r="D108" s="648"/>
      <c r="E108" s="666" t="str">
        <f>+E54</f>
        <v>Nuray KARA</v>
      </c>
      <c r="F108" s="666"/>
      <c r="G108" s="648"/>
      <c r="H108" s="648"/>
    </row>
    <row r="109" spans="2:10" ht="15" customHeight="1" x14ac:dyDescent="0.2">
      <c r="C109" s="648"/>
      <c r="D109" s="648"/>
      <c r="E109" s="666" t="s">
        <v>776</v>
      </c>
      <c r="F109" s="666"/>
      <c r="G109" s="648"/>
      <c r="H109" s="648"/>
    </row>
  </sheetData>
  <mergeCells count="28">
    <mergeCell ref="C53:D53"/>
    <mergeCell ref="E53:F53"/>
    <mergeCell ref="G53:H53"/>
    <mergeCell ref="B1:H1"/>
    <mergeCell ref="B2:H2"/>
    <mergeCell ref="B3:F3"/>
    <mergeCell ref="B4:F4"/>
    <mergeCell ref="B50:D50"/>
    <mergeCell ref="B56:H56"/>
    <mergeCell ref="C54:D54"/>
    <mergeCell ref="E54:F54"/>
    <mergeCell ref="G54:H54"/>
    <mergeCell ref="C55:D55"/>
    <mergeCell ref="E55:F55"/>
    <mergeCell ref="G55:H55"/>
    <mergeCell ref="B57:H57"/>
    <mergeCell ref="B58:F58"/>
    <mergeCell ref="B59:F59"/>
    <mergeCell ref="B104:D104"/>
    <mergeCell ref="C107:D107"/>
    <mergeCell ref="E107:F107"/>
    <mergeCell ref="G107:H107"/>
    <mergeCell ref="C108:D108"/>
    <mergeCell ref="E108:F108"/>
    <mergeCell ref="G108:H108"/>
    <mergeCell ref="C109:D109"/>
    <mergeCell ref="E109:F109"/>
    <mergeCell ref="G109:H109"/>
  </mergeCells>
  <printOptions horizontalCentered="1"/>
  <pageMargins left="0.82" right="0.55000000000000004" top="0.7" bottom="0.5" header="0.35" footer="0.51181102362204722"/>
  <pageSetup paperSize="9" scale="69" orientation="portrait" horizontalDpi="300" verticalDpi="300" r:id="rId1"/>
  <headerFooter alignWithMargins="0"/>
  <rowBreaks count="1" manualBreakCount="1">
    <brk id="55"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M122"/>
  <sheetViews>
    <sheetView showGridLines="0" view="pageBreakPreview" zoomScaleSheetLayoutView="100" workbookViewId="0">
      <selection activeCell="M114" sqref="M114"/>
    </sheetView>
  </sheetViews>
  <sheetFormatPr defaultRowHeight="12.75" x14ac:dyDescent="0.2"/>
  <cols>
    <col min="1" max="1" width="2.42578125" style="307" customWidth="1"/>
    <col min="2" max="2" width="5.7109375" style="307" customWidth="1"/>
    <col min="3" max="3" width="13.85546875" style="307" bestFit="1" customWidth="1"/>
    <col min="4" max="4" width="54.140625" style="307" customWidth="1"/>
    <col min="5" max="5" width="12.140625" style="326" customWidth="1"/>
    <col min="6" max="6" width="14.42578125" style="326" customWidth="1"/>
    <col min="7" max="7" width="13.7109375" style="326" customWidth="1"/>
    <col min="8" max="8" width="13.140625" style="319" customWidth="1"/>
    <col min="9" max="9" width="3.28515625" style="307" customWidth="1"/>
    <col min="10" max="10" width="18" style="307" bestFit="1" customWidth="1"/>
    <col min="11" max="16384" width="9.140625" style="307"/>
  </cols>
  <sheetData>
    <row r="1" spans="2:10" ht="32.1" customHeight="1" thickBot="1" x14ac:dyDescent="0.25">
      <c r="B1" s="699" t="s">
        <v>116</v>
      </c>
      <c r="C1" s="700"/>
      <c r="D1" s="700"/>
      <c r="E1" s="700"/>
      <c r="F1" s="700"/>
      <c r="G1" s="700"/>
      <c r="H1" s="701"/>
    </row>
    <row r="2" spans="2:10" ht="32.1" customHeight="1" thickBot="1" x14ac:dyDescent="0.25">
      <c r="B2" s="702" t="str">
        <f>'Hakediş Raporu Kapağı'!F9</f>
        <v xml:space="preserve">Araklı Çankaya Yibo Lojman İnşaatı İşi </v>
      </c>
      <c r="C2" s="703"/>
      <c r="D2" s="703"/>
      <c r="E2" s="703"/>
      <c r="F2" s="703"/>
      <c r="G2" s="703"/>
      <c r="H2" s="704"/>
    </row>
    <row r="3" spans="2:10" ht="16.5" thickBot="1" x14ac:dyDescent="0.25">
      <c r="B3" s="705"/>
      <c r="C3" s="706"/>
      <c r="D3" s="706"/>
      <c r="E3" s="706"/>
      <c r="F3" s="706"/>
      <c r="G3" s="413" t="s">
        <v>190</v>
      </c>
      <c r="H3" s="414">
        <v>1</v>
      </c>
    </row>
    <row r="4" spans="2:10" ht="23.25" customHeight="1" thickBot="1" x14ac:dyDescent="0.25">
      <c r="B4" s="707" t="s">
        <v>234</v>
      </c>
      <c r="C4" s="708"/>
      <c r="D4" s="708"/>
      <c r="E4" s="708"/>
      <c r="F4" s="708"/>
      <c r="G4" s="415" t="s">
        <v>189</v>
      </c>
      <c r="H4" s="416" t="str">
        <f>'Hakediş Raporu Kapağı'!F6</f>
        <v>5(Beş)</v>
      </c>
    </row>
    <row r="5" spans="2:10" ht="42.75" x14ac:dyDescent="0.2">
      <c r="B5" s="402" t="s">
        <v>15</v>
      </c>
      <c r="C5" s="403" t="s">
        <v>17</v>
      </c>
      <c r="D5" s="403" t="s">
        <v>16</v>
      </c>
      <c r="E5" s="404" t="s">
        <v>124</v>
      </c>
      <c r="F5" s="404" t="s">
        <v>125</v>
      </c>
      <c r="G5" s="404" t="s">
        <v>126</v>
      </c>
      <c r="H5" s="405" t="s">
        <v>236</v>
      </c>
      <c r="J5" s="315" t="s">
        <v>206</v>
      </c>
    </row>
    <row r="6" spans="2:10" x14ac:dyDescent="0.2">
      <c r="B6" s="410">
        <v>1</v>
      </c>
      <c r="C6" s="377" t="s">
        <v>400</v>
      </c>
      <c r="D6" s="386" t="s">
        <v>401</v>
      </c>
      <c r="E6" s="433">
        <v>7.0299999999999998E-3</v>
      </c>
      <c r="F6" s="433">
        <v>7.0299999999999998E-3</v>
      </c>
      <c r="G6" s="433">
        <v>7.0299999999999998E-3</v>
      </c>
      <c r="H6" s="407">
        <v>0</v>
      </c>
      <c r="J6" s="319">
        <f>+E6-F6</f>
        <v>0</v>
      </c>
    </row>
    <row r="7" spans="2:10" x14ac:dyDescent="0.2">
      <c r="B7" s="410">
        <v>2</v>
      </c>
      <c r="C7" s="377" t="s">
        <v>402</v>
      </c>
      <c r="D7" s="386" t="s">
        <v>403</v>
      </c>
      <c r="E7" s="433">
        <v>6.0889999999999998E-3</v>
      </c>
      <c r="F7" s="433">
        <v>6.0889999999999998E-3</v>
      </c>
      <c r="G7" s="433">
        <v>6.0889999999999998E-3</v>
      </c>
      <c r="H7" s="407">
        <v>0</v>
      </c>
      <c r="J7" s="319">
        <f t="shared" ref="J7:J69" si="0">+E7-F7</f>
        <v>0</v>
      </c>
    </row>
    <row r="8" spans="2:10" x14ac:dyDescent="0.2">
      <c r="B8" s="410">
        <v>3</v>
      </c>
      <c r="C8" s="377" t="s">
        <v>404</v>
      </c>
      <c r="D8" s="386" t="s">
        <v>405</v>
      </c>
      <c r="E8" s="433">
        <v>3.2825E-2</v>
      </c>
      <c r="F8" s="433">
        <v>3.2825E-2</v>
      </c>
      <c r="G8" s="433">
        <v>3.2825E-2</v>
      </c>
      <c r="H8" s="407">
        <v>0</v>
      </c>
      <c r="J8" s="319">
        <f t="shared" si="0"/>
        <v>0</v>
      </c>
    </row>
    <row r="9" spans="2:10" x14ac:dyDescent="0.2">
      <c r="B9" s="410">
        <v>4</v>
      </c>
      <c r="C9" s="377" t="s">
        <v>406</v>
      </c>
      <c r="D9" s="386" t="s">
        <v>407</v>
      </c>
      <c r="E9" s="433">
        <v>1.3450000000000001E-3</v>
      </c>
      <c r="F9" s="433">
        <v>1.3450000000000001E-3</v>
      </c>
      <c r="G9" s="433">
        <v>1.3450000000000001E-3</v>
      </c>
      <c r="H9" s="407">
        <v>0</v>
      </c>
      <c r="J9" s="319">
        <f t="shared" si="0"/>
        <v>0</v>
      </c>
    </row>
    <row r="10" spans="2:10" x14ac:dyDescent="0.2">
      <c r="B10" s="410">
        <v>5</v>
      </c>
      <c r="C10" s="377" t="s">
        <v>408</v>
      </c>
      <c r="D10" s="386" t="s">
        <v>409</v>
      </c>
      <c r="E10" s="433">
        <v>1.4520999999999999E-2</v>
      </c>
      <c r="F10" s="433">
        <v>1.4520999999999999E-2</v>
      </c>
      <c r="G10" s="433">
        <v>1.4520999999999999E-2</v>
      </c>
      <c r="H10" s="407">
        <v>0</v>
      </c>
      <c r="J10" s="319">
        <f t="shared" si="0"/>
        <v>0</v>
      </c>
    </row>
    <row r="11" spans="2:10" x14ac:dyDescent="0.2">
      <c r="B11" s="410">
        <v>6</v>
      </c>
      <c r="C11" s="377" t="s">
        <v>410</v>
      </c>
      <c r="D11" s="386" t="s">
        <v>411</v>
      </c>
      <c r="E11" s="433">
        <v>1.6507000000000001E-2</v>
      </c>
      <c r="F11" s="433">
        <v>1.6507000000000001E-2</v>
      </c>
      <c r="G11" s="433">
        <v>1.6507000000000001E-2</v>
      </c>
      <c r="H11" s="407">
        <v>0</v>
      </c>
      <c r="J11" s="319">
        <f t="shared" si="0"/>
        <v>0</v>
      </c>
    </row>
    <row r="12" spans="2:10" x14ac:dyDescent="0.2">
      <c r="B12" s="410">
        <v>7</v>
      </c>
      <c r="C12" s="377" t="s">
        <v>412</v>
      </c>
      <c r="D12" s="386" t="s">
        <v>413</v>
      </c>
      <c r="E12" s="433">
        <v>4.4749999999999998E-3</v>
      </c>
      <c r="F12" s="433">
        <v>4.4749999999999998E-3</v>
      </c>
      <c r="G12" s="433">
        <v>4.4749999999999998E-3</v>
      </c>
      <c r="H12" s="407">
        <v>0</v>
      </c>
      <c r="J12" s="319">
        <f t="shared" si="0"/>
        <v>0</v>
      </c>
    </row>
    <row r="13" spans="2:10" x14ac:dyDescent="0.2">
      <c r="B13" s="410">
        <v>8</v>
      </c>
      <c r="C13" s="377" t="s">
        <v>414</v>
      </c>
      <c r="D13" s="386" t="s">
        <v>415</v>
      </c>
      <c r="E13" s="433">
        <v>2.1738E-2</v>
      </c>
      <c r="F13" s="433">
        <v>2.1738E-2</v>
      </c>
      <c r="G13" s="433">
        <v>2.1738E-2</v>
      </c>
      <c r="H13" s="407">
        <v>0</v>
      </c>
      <c r="J13" s="319">
        <f t="shared" si="0"/>
        <v>0</v>
      </c>
    </row>
    <row r="14" spans="2:10" x14ac:dyDescent="0.2">
      <c r="B14" s="410">
        <v>9</v>
      </c>
      <c r="C14" s="377" t="s">
        <v>416</v>
      </c>
      <c r="D14" s="386" t="s">
        <v>417</v>
      </c>
      <c r="E14" s="433">
        <v>3.3205999999999999E-2</v>
      </c>
      <c r="F14" s="433">
        <v>3.3205999999999999E-2</v>
      </c>
      <c r="G14" s="433">
        <v>3.3205999999999999E-2</v>
      </c>
      <c r="H14" s="407">
        <v>0</v>
      </c>
      <c r="J14" s="319">
        <f t="shared" si="0"/>
        <v>0</v>
      </c>
    </row>
    <row r="15" spans="2:10" x14ac:dyDescent="0.2">
      <c r="B15" s="410">
        <v>10</v>
      </c>
      <c r="C15" s="377" t="s">
        <v>418</v>
      </c>
      <c r="D15" s="386" t="s">
        <v>419</v>
      </c>
      <c r="E15" s="433">
        <v>9.4920000000000004E-3</v>
      </c>
      <c r="F15" s="433">
        <v>9.4920000000000004E-3</v>
      </c>
      <c r="G15" s="433">
        <v>9.4920000000000004E-3</v>
      </c>
      <c r="H15" s="407">
        <v>0</v>
      </c>
      <c r="J15" s="319">
        <f t="shared" si="0"/>
        <v>0</v>
      </c>
    </row>
    <row r="16" spans="2:10" x14ac:dyDescent="0.2">
      <c r="B16" s="410">
        <v>11</v>
      </c>
      <c r="C16" s="377" t="s">
        <v>420</v>
      </c>
      <c r="D16" s="386" t="s">
        <v>421</v>
      </c>
      <c r="E16" s="433">
        <v>1.4926999999999999E-2</v>
      </c>
      <c r="F16" s="433">
        <v>1.4926999999999999E-2</v>
      </c>
      <c r="G16" s="433">
        <v>1.4926999999999999E-2</v>
      </c>
      <c r="H16" s="407">
        <v>0</v>
      </c>
      <c r="J16" s="319">
        <f t="shared" si="0"/>
        <v>0</v>
      </c>
    </row>
    <row r="17" spans="2:10" x14ac:dyDescent="0.2">
      <c r="B17" s="410">
        <v>12</v>
      </c>
      <c r="C17" s="377" t="s">
        <v>422</v>
      </c>
      <c r="D17" s="386" t="s">
        <v>423</v>
      </c>
      <c r="E17" s="433">
        <v>8.5266999999999996E-2</v>
      </c>
      <c r="F17" s="433">
        <v>8.5266999999999996E-2</v>
      </c>
      <c r="G17" s="433">
        <v>8.5266999999999996E-2</v>
      </c>
      <c r="H17" s="407">
        <v>0</v>
      </c>
      <c r="J17" s="319">
        <f t="shared" si="0"/>
        <v>0</v>
      </c>
    </row>
    <row r="18" spans="2:10" x14ac:dyDescent="0.2">
      <c r="B18" s="410">
        <v>13</v>
      </c>
      <c r="C18" s="377" t="s">
        <v>424</v>
      </c>
      <c r="D18" s="386" t="s">
        <v>425</v>
      </c>
      <c r="E18" s="433">
        <v>3.4092999999999998E-2</v>
      </c>
      <c r="F18" s="433">
        <v>3.4092999999999998E-2</v>
      </c>
      <c r="G18" s="433">
        <v>3.4092999999999998E-2</v>
      </c>
      <c r="H18" s="407">
        <v>0</v>
      </c>
      <c r="J18" s="319">
        <f t="shared" si="0"/>
        <v>0</v>
      </c>
    </row>
    <row r="19" spans="2:10" ht="24.75" customHeight="1" x14ac:dyDescent="0.2">
      <c r="B19" s="410">
        <v>14</v>
      </c>
      <c r="C19" s="377" t="s">
        <v>426</v>
      </c>
      <c r="D19" s="387" t="s">
        <v>609</v>
      </c>
      <c r="E19" s="433">
        <v>0.27953800000000001</v>
      </c>
      <c r="F19" s="433">
        <v>0.27953800000000001</v>
      </c>
      <c r="G19" s="433">
        <v>0.27953800000000001</v>
      </c>
      <c r="H19" s="407">
        <v>0</v>
      </c>
      <c r="J19" s="319">
        <f t="shared" si="0"/>
        <v>0</v>
      </c>
    </row>
    <row r="20" spans="2:10" x14ac:dyDescent="0.2">
      <c r="B20" s="410">
        <v>15</v>
      </c>
      <c r="C20" s="377" t="s">
        <v>427</v>
      </c>
      <c r="D20" s="386" t="s">
        <v>428</v>
      </c>
      <c r="E20" s="433">
        <v>7.4370000000000006E-2</v>
      </c>
      <c r="F20" s="433">
        <v>7.4370000000000006E-2</v>
      </c>
      <c r="G20" s="433">
        <v>7.4370000000000006E-2</v>
      </c>
      <c r="H20" s="407">
        <v>0</v>
      </c>
      <c r="J20" s="319">
        <f t="shared" si="0"/>
        <v>0</v>
      </c>
    </row>
    <row r="21" spans="2:10" x14ac:dyDescent="0.2">
      <c r="B21" s="410">
        <v>16</v>
      </c>
      <c r="C21" s="377" t="s">
        <v>429</v>
      </c>
      <c r="D21" s="386" t="s">
        <v>430</v>
      </c>
      <c r="E21" s="433">
        <v>1.7099999999999999E-3</v>
      </c>
      <c r="F21" s="433">
        <v>1.7099999999999999E-3</v>
      </c>
      <c r="G21" s="433">
        <v>1.7099999999999999E-3</v>
      </c>
      <c r="H21" s="407">
        <v>0</v>
      </c>
      <c r="J21" s="319">
        <f t="shared" si="0"/>
        <v>0</v>
      </c>
    </row>
    <row r="22" spans="2:10" x14ac:dyDescent="0.2">
      <c r="B22" s="410">
        <v>17</v>
      </c>
      <c r="C22" s="377" t="s">
        <v>431</v>
      </c>
      <c r="D22" s="386" t="s">
        <v>432</v>
      </c>
      <c r="E22" s="433">
        <v>8.548E-3</v>
      </c>
      <c r="F22" s="433">
        <v>8.548E-3</v>
      </c>
      <c r="G22" s="433">
        <v>8.548E-3</v>
      </c>
      <c r="H22" s="407">
        <v>0</v>
      </c>
      <c r="J22" s="319">
        <f t="shared" si="0"/>
        <v>0</v>
      </c>
    </row>
    <row r="23" spans="2:10" x14ac:dyDescent="0.2">
      <c r="B23" s="410">
        <v>18</v>
      </c>
      <c r="C23" s="377" t="s">
        <v>433</v>
      </c>
      <c r="D23" s="386" t="s">
        <v>434</v>
      </c>
      <c r="E23" s="433">
        <v>9.129E-3</v>
      </c>
      <c r="F23" s="433">
        <v>9.129E-3</v>
      </c>
      <c r="G23" s="433">
        <v>9.129E-3</v>
      </c>
      <c r="H23" s="407">
        <v>0</v>
      </c>
      <c r="J23" s="319">
        <f t="shared" si="0"/>
        <v>0</v>
      </c>
    </row>
    <row r="24" spans="2:10" x14ac:dyDescent="0.2">
      <c r="B24" s="410">
        <v>19</v>
      </c>
      <c r="C24" s="377" t="s">
        <v>435</v>
      </c>
      <c r="D24" s="386" t="s">
        <v>436</v>
      </c>
      <c r="E24" s="433">
        <v>2.7827000000000001E-2</v>
      </c>
      <c r="F24" s="433">
        <v>2.7827000000000001E-2</v>
      </c>
      <c r="G24" s="433">
        <v>2.7827000000000001E-2</v>
      </c>
      <c r="H24" s="407">
        <v>0</v>
      </c>
      <c r="J24" s="319">
        <f t="shared" si="0"/>
        <v>0</v>
      </c>
    </row>
    <row r="25" spans="2:10" x14ac:dyDescent="0.2">
      <c r="B25" s="410">
        <v>20</v>
      </c>
      <c r="C25" s="377" t="s">
        <v>437</v>
      </c>
      <c r="D25" s="386" t="s">
        <v>438</v>
      </c>
      <c r="E25" s="433">
        <v>7.9908000000000007E-2</v>
      </c>
      <c r="F25" s="433">
        <v>7.9908000000000007E-2</v>
      </c>
      <c r="G25" s="433">
        <v>7.9908000000000007E-2</v>
      </c>
      <c r="H25" s="407">
        <v>0</v>
      </c>
      <c r="J25" s="319">
        <f t="shared" si="0"/>
        <v>0</v>
      </c>
    </row>
    <row r="26" spans="2:10" ht="24" x14ac:dyDescent="0.2">
      <c r="B26" s="410">
        <v>21</v>
      </c>
      <c r="C26" s="377" t="s">
        <v>439</v>
      </c>
      <c r="D26" s="387" t="s">
        <v>610</v>
      </c>
      <c r="E26" s="433">
        <v>2.3677E-2</v>
      </c>
      <c r="F26" s="433">
        <v>2.3677E-2</v>
      </c>
      <c r="G26" s="433">
        <v>2.3677E-2</v>
      </c>
      <c r="H26" s="407">
        <v>0</v>
      </c>
      <c r="J26" s="319">
        <f t="shared" si="0"/>
        <v>0</v>
      </c>
    </row>
    <row r="27" spans="2:10" x14ac:dyDescent="0.2">
      <c r="B27" s="410">
        <v>22</v>
      </c>
      <c r="C27" s="377" t="s">
        <v>440</v>
      </c>
      <c r="D27" s="386" t="s">
        <v>441</v>
      </c>
      <c r="E27" s="433">
        <v>8.9650000000000007E-3</v>
      </c>
      <c r="F27" s="433">
        <v>8.9650000000000007E-3</v>
      </c>
      <c r="G27" s="433">
        <v>8.9650000000000007E-3</v>
      </c>
      <c r="H27" s="407">
        <v>0</v>
      </c>
      <c r="J27" s="319">
        <f t="shared" si="0"/>
        <v>0</v>
      </c>
    </row>
    <row r="28" spans="2:10" x14ac:dyDescent="0.2">
      <c r="B28" s="410">
        <v>23</v>
      </c>
      <c r="C28" s="377" t="s">
        <v>442</v>
      </c>
      <c r="D28" s="386" t="s">
        <v>443</v>
      </c>
      <c r="E28" s="433">
        <v>3.4394000000000001E-2</v>
      </c>
      <c r="F28" s="433">
        <v>3.4394000000000001E-2</v>
      </c>
      <c r="G28" s="433">
        <v>3.4394000000000001E-2</v>
      </c>
      <c r="H28" s="407">
        <v>0</v>
      </c>
      <c r="J28" s="319">
        <f t="shared" si="0"/>
        <v>0</v>
      </c>
    </row>
    <row r="29" spans="2:10" x14ac:dyDescent="0.2">
      <c r="B29" s="410">
        <v>24</v>
      </c>
      <c r="C29" s="377" t="s">
        <v>444</v>
      </c>
      <c r="D29" s="386" t="s">
        <v>445</v>
      </c>
      <c r="E29" s="433">
        <v>8.9021000000000003E-2</v>
      </c>
      <c r="F29" s="433">
        <v>8.9021000000000003E-2</v>
      </c>
      <c r="G29" s="433">
        <v>8.9021000000000003E-2</v>
      </c>
      <c r="H29" s="407">
        <v>0</v>
      </c>
      <c r="J29" s="319">
        <f t="shared" si="0"/>
        <v>0</v>
      </c>
    </row>
    <row r="30" spans="2:10" x14ac:dyDescent="0.2">
      <c r="B30" s="410">
        <v>25</v>
      </c>
      <c r="C30" s="377" t="s">
        <v>446</v>
      </c>
      <c r="D30" s="386" t="s">
        <v>447</v>
      </c>
      <c r="E30" s="433">
        <v>1.7436E-2</v>
      </c>
      <c r="F30" s="433">
        <v>1.7436E-2</v>
      </c>
      <c r="G30" s="433">
        <v>1.7436E-2</v>
      </c>
      <c r="H30" s="407">
        <v>0</v>
      </c>
      <c r="J30" s="319">
        <f t="shared" si="0"/>
        <v>0</v>
      </c>
    </row>
    <row r="31" spans="2:10" x14ac:dyDescent="0.2">
      <c r="B31" s="410">
        <v>26</v>
      </c>
      <c r="C31" s="377" t="s">
        <v>448</v>
      </c>
      <c r="D31" s="386" t="s">
        <v>449</v>
      </c>
      <c r="E31" s="433">
        <v>8.4261000000000003E-2</v>
      </c>
      <c r="F31" s="433">
        <v>8.4261000000000003E-2</v>
      </c>
      <c r="G31" s="433">
        <v>8.4261000000000003E-2</v>
      </c>
      <c r="H31" s="407">
        <v>0</v>
      </c>
      <c r="J31" s="319">
        <f t="shared" si="0"/>
        <v>0</v>
      </c>
    </row>
    <row r="32" spans="2:10" x14ac:dyDescent="0.2">
      <c r="B32" s="410">
        <v>27</v>
      </c>
      <c r="C32" s="377" t="s">
        <v>450</v>
      </c>
      <c r="D32" s="386" t="s">
        <v>451</v>
      </c>
      <c r="E32" s="433">
        <v>6.2866000000000005E-2</v>
      </c>
      <c r="F32" s="433">
        <v>6.2866000000000005E-2</v>
      </c>
      <c r="G32" s="433">
        <v>6.2866000000000005E-2</v>
      </c>
      <c r="H32" s="407">
        <v>0</v>
      </c>
      <c r="J32" s="319">
        <f t="shared" si="0"/>
        <v>0</v>
      </c>
    </row>
    <row r="33" spans="2:13" x14ac:dyDescent="0.2">
      <c r="B33" s="410">
        <v>28</v>
      </c>
      <c r="C33" s="377" t="s">
        <v>452</v>
      </c>
      <c r="D33" s="386" t="s">
        <v>453</v>
      </c>
      <c r="E33" s="433">
        <v>6.6160000000000004E-3</v>
      </c>
      <c r="F33" s="433">
        <v>6.6160000000000004E-3</v>
      </c>
      <c r="G33" s="433">
        <v>6.6160000000000004E-3</v>
      </c>
      <c r="H33" s="407">
        <v>0</v>
      </c>
      <c r="J33" s="319">
        <f t="shared" si="0"/>
        <v>0</v>
      </c>
    </row>
    <row r="34" spans="2:13" x14ac:dyDescent="0.2">
      <c r="B34" s="410">
        <v>29</v>
      </c>
      <c r="C34" s="377" t="s">
        <v>454</v>
      </c>
      <c r="D34" s="386" t="s">
        <v>455</v>
      </c>
      <c r="E34" s="433">
        <v>2.0843E-2</v>
      </c>
      <c r="F34" s="433">
        <v>2.0843E-2</v>
      </c>
      <c r="G34" s="433">
        <v>2.0843E-2</v>
      </c>
      <c r="H34" s="407">
        <v>0</v>
      </c>
      <c r="J34" s="319">
        <f t="shared" si="0"/>
        <v>0</v>
      </c>
    </row>
    <row r="35" spans="2:13" x14ac:dyDescent="0.2">
      <c r="B35" s="410">
        <v>30</v>
      </c>
      <c r="C35" s="377" t="s">
        <v>456</v>
      </c>
      <c r="D35" s="386" t="s">
        <v>457</v>
      </c>
      <c r="E35" s="433">
        <v>0.175563</v>
      </c>
      <c r="F35" s="433">
        <v>0.175563</v>
      </c>
      <c r="G35" s="433">
        <v>0.175563</v>
      </c>
      <c r="H35" s="407">
        <v>0</v>
      </c>
      <c r="J35" s="319">
        <f t="shared" si="0"/>
        <v>0</v>
      </c>
      <c r="M35" s="326"/>
    </row>
    <row r="36" spans="2:13" x14ac:dyDescent="0.2">
      <c r="B36" s="410">
        <v>31</v>
      </c>
      <c r="C36" s="377" t="s">
        <v>458</v>
      </c>
      <c r="D36" s="386" t="s">
        <v>459</v>
      </c>
      <c r="E36" s="433">
        <v>1.2399E-2</v>
      </c>
      <c r="F36" s="433">
        <v>1.2399E-2</v>
      </c>
      <c r="G36" s="433">
        <v>1.2399E-2</v>
      </c>
      <c r="H36" s="407">
        <v>0</v>
      </c>
      <c r="J36" s="319">
        <f t="shared" si="0"/>
        <v>0</v>
      </c>
      <c r="M36" s="326"/>
    </row>
    <row r="37" spans="2:13" x14ac:dyDescent="0.2">
      <c r="B37" s="410">
        <v>32</v>
      </c>
      <c r="C37" s="377" t="s">
        <v>460</v>
      </c>
      <c r="D37" s="386" t="s">
        <v>461</v>
      </c>
      <c r="E37" s="433">
        <v>6.5237000000000003E-2</v>
      </c>
      <c r="F37" s="433">
        <v>6.5237000000000003E-2</v>
      </c>
      <c r="G37" s="433">
        <v>6.5237000000000003E-2</v>
      </c>
      <c r="H37" s="407">
        <v>0</v>
      </c>
      <c r="J37" s="319">
        <f t="shared" si="0"/>
        <v>0</v>
      </c>
      <c r="M37" s="326"/>
    </row>
    <row r="38" spans="2:13" x14ac:dyDescent="0.2">
      <c r="B38" s="410">
        <v>33</v>
      </c>
      <c r="C38" s="377" t="s">
        <v>462</v>
      </c>
      <c r="D38" s="386" t="s">
        <v>463</v>
      </c>
      <c r="E38" s="433">
        <v>3.9565999999999997E-2</v>
      </c>
      <c r="F38" s="433">
        <v>3.9565999999999997E-2</v>
      </c>
      <c r="G38" s="433">
        <v>3.9565999999999997E-2</v>
      </c>
      <c r="H38" s="407">
        <v>0</v>
      </c>
      <c r="J38" s="319">
        <f t="shared" si="0"/>
        <v>0</v>
      </c>
      <c r="M38" s="326"/>
    </row>
    <row r="39" spans="2:13" x14ac:dyDescent="0.2">
      <c r="B39" s="410">
        <v>34</v>
      </c>
      <c r="C39" s="377" t="s">
        <v>464</v>
      </c>
      <c r="D39" s="386" t="s">
        <v>465</v>
      </c>
      <c r="E39" s="433">
        <v>0.111225</v>
      </c>
      <c r="F39" s="433">
        <v>0.111225</v>
      </c>
      <c r="G39" s="433">
        <v>0.111225</v>
      </c>
      <c r="H39" s="407">
        <v>0</v>
      </c>
      <c r="J39" s="319">
        <f t="shared" si="0"/>
        <v>0</v>
      </c>
      <c r="M39" s="326"/>
    </row>
    <row r="40" spans="2:13" x14ac:dyDescent="0.2">
      <c r="B40" s="410">
        <v>35</v>
      </c>
      <c r="C40" s="377" t="s">
        <v>466</v>
      </c>
      <c r="D40" s="386" t="s">
        <v>467</v>
      </c>
      <c r="E40" s="433">
        <v>0.71746799999999999</v>
      </c>
      <c r="F40" s="433">
        <v>0.71746799999999999</v>
      </c>
      <c r="G40" s="433">
        <v>0.71746799999999999</v>
      </c>
      <c r="H40" s="407">
        <v>0</v>
      </c>
      <c r="J40" s="319">
        <f t="shared" si="0"/>
        <v>0</v>
      </c>
    </row>
    <row r="41" spans="2:13" x14ac:dyDescent="0.2">
      <c r="B41" s="410">
        <v>36</v>
      </c>
      <c r="C41" s="377" t="s">
        <v>468</v>
      </c>
      <c r="D41" s="386" t="s">
        <v>469</v>
      </c>
      <c r="E41" s="433">
        <v>2.4541E-2</v>
      </c>
      <c r="F41" s="433">
        <v>2.4541E-2</v>
      </c>
      <c r="G41" s="433">
        <v>2.4541E-2</v>
      </c>
      <c r="H41" s="407">
        <v>0</v>
      </c>
      <c r="J41" s="319">
        <f t="shared" si="0"/>
        <v>0</v>
      </c>
    </row>
    <row r="42" spans="2:13" x14ac:dyDescent="0.2">
      <c r="B42" s="410">
        <v>37</v>
      </c>
      <c r="C42" s="377" t="s">
        <v>470</v>
      </c>
      <c r="D42" s="386" t="s">
        <v>471</v>
      </c>
      <c r="E42" s="433">
        <v>5.6274999999999999E-2</v>
      </c>
      <c r="F42" s="433">
        <v>5.6274999999999999E-2</v>
      </c>
      <c r="G42" s="433">
        <v>5.6274999999999999E-2</v>
      </c>
      <c r="H42" s="407">
        <v>0</v>
      </c>
      <c r="J42" s="319">
        <f t="shared" si="0"/>
        <v>0</v>
      </c>
    </row>
    <row r="43" spans="2:13" x14ac:dyDescent="0.2">
      <c r="B43" s="410">
        <v>38</v>
      </c>
      <c r="C43" s="377" t="s">
        <v>472</v>
      </c>
      <c r="D43" s="386" t="s">
        <v>473</v>
      </c>
      <c r="E43" s="433">
        <v>2.5222000000000001E-2</v>
      </c>
      <c r="F43" s="433">
        <v>2.5222000000000001E-2</v>
      </c>
      <c r="G43" s="433">
        <v>2.5222000000000001E-2</v>
      </c>
      <c r="H43" s="407">
        <v>0</v>
      </c>
      <c r="J43" s="319">
        <f t="shared" si="0"/>
        <v>0</v>
      </c>
    </row>
    <row r="44" spans="2:13" x14ac:dyDescent="0.2">
      <c r="B44" s="410">
        <v>39</v>
      </c>
      <c r="C44" s="377" t="s">
        <v>474</v>
      </c>
      <c r="D44" s="386" t="s">
        <v>475</v>
      </c>
      <c r="E44" s="433">
        <v>3.362E-3</v>
      </c>
      <c r="F44" s="433">
        <v>3.362E-3</v>
      </c>
      <c r="G44" s="433">
        <v>3.362E-3</v>
      </c>
      <c r="H44" s="407">
        <v>0</v>
      </c>
      <c r="J44" s="319">
        <f t="shared" si="0"/>
        <v>0</v>
      </c>
    </row>
    <row r="45" spans="2:13" x14ac:dyDescent="0.2">
      <c r="B45" s="410">
        <v>40</v>
      </c>
      <c r="C45" s="377" t="s">
        <v>476</v>
      </c>
      <c r="D45" s="386" t="s">
        <v>477</v>
      </c>
      <c r="E45" s="433">
        <v>0.123323</v>
      </c>
      <c r="F45" s="433">
        <v>0.123323</v>
      </c>
      <c r="G45" s="433">
        <v>0.123323</v>
      </c>
      <c r="H45" s="407">
        <v>0</v>
      </c>
      <c r="J45" s="319">
        <f t="shared" si="0"/>
        <v>0</v>
      </c>
    </row>
    <row r="46" spans="2:13" x14ac:dyDescent="0.2">
      <c r="B46" s="410">
        <v>41</v>
      </c>
      <c r="C46" s="377" t="s">
        <v>478</v>
      </c>
      <c r="D46" s="386" t="s">
        <v>479</v>
      </c>
      <c r="E46" s="433">
        <v>0.10344100000000001</v>
      </c>
      <c r="F46" s="433">
        <v>0.10344100000000001</v>
      </c>
      <c r="G46" s="433">
        <v>0.10344100000000001</v>
      </c>
      <c r="H46" s="407">
        <v>0</v>
      </c>
      <c r="J46" s="319">
        <f t="shared" si="0"/>
        <v>0</v>
      </c>
    </row>
    <row r="47" spans="2:13" x14ac:dyDescent="0.2">
      <c r="B47" s="410">
        <v>42</v>
      </c>
      <c r="C47" s="377" t="s">
        <v>480</v>
      </c>
      <c r="D47" s="386" t="s">
        <v>481</v>
      </c>
      <c r="E47" s="433">
        <v>4.6668000000000001E-2</v>
      </c>
      <c r="F47" s="433">
        <v>4.6668000000000001E-2</v>
      </c>
      <c r="G47" s="433">
        <v>4.6668000000000001E-2</v>
      </c>
      <c r="H47" s="407">
        <v>0</v>
      </c>
      <c r="J47" s="319">
        <f t="shared" si="0"/>
        <v>0</v>
      </c>
    </row>
    <row r="48" spans="2:13" x14ac:dyDescent="0.2">
      <c r="B48" s="410">
        <v>43</v>
      </c>
      <c r="C48" s="377" t="s">
        <v>482</v>
      </c>
      <c r="D48" s="386" t="s">
        <v>483</v>
      </c>
      <c r="E48" s="433">
        <v>4.6799999999999999E-4</v>
      </c>
      <c r="F48" s="433">
        <v>4.6799999999999999E-4</v>
      </c>
      <c r="G48" s="433">
        <v>4.6799999999999999E-4</v>
      </c>
      <c r="H48" s="407">
        <v>0</v>
      </c>
      <c r="J48" s="319">
        <f t="shared" si="0"/>
        <v>0</v>
      </c>
    </row>
    <row r="49" spans="2:10" x14ac:dyDescent="0.2">
      <c r="B49" s="410">
        <v>44</v>
      </c>
      <c r="C49" s="377" t="s">
        <v>484</v>
      </c>
      <c r="D49" s="386" t="s">
        <v>485</v>
      </c>
      <c r="E49" s="433">
        <v>1.338E-3</v>
      </c>
      <c r="F49" s="433">
        <v>1.338E-3</v>
      </c>
      <c r="G49" s="433">
        <v>1.338E-3</v>
      </c>
      <c r="H49" s="407">
        <v>0</v>
      </c>
      <c r="J49" s="319">
        <f t="shared" si="0"/>
        <v>0</v>
      </c>
    </row>
    <row r="50" spans="2:10" x14ac:dyDescent="0.2">
      <c r="B50" s="410">
        <v>45</v>
      </c>
      <c r="C50" s="377" t="s">
        <v>486</v>
      </c>
      <c r="D50" s="386" t="s">
        <v>487</v>
      </c>
      <c r="E50" s="433">
        <v>1.0847000000000001E-2</v>
      </c>
      <c r="F50" s="433">
        <v>1.0847000000000001E-2</v>
      </c>
      <c r="G50" s="433">
        <v>1.0847000000000001E-2</v>
      </c>
      <c r="H50" s="407">
        <v>0</v>
      </c>
      <c r="J50" s="319">
        <f t="shared" si="0"/>
        <v>0</v>
      </c>
    </row>
    <row r="51" spans="2:10" x14ac:dyDescent="0.2">
      <c r="B51" s="410">
        <v>46</v>
      </c>
      <c r="C51" s="377" t="s">
        <v>488</v>
      </c>
      <c r="D51" s="386" t="s">
        <v>489</v>
      </c>
      <c r="E51" s="433">
        <v>1.07E-3</v>
      </c>
      <c r="F51" s="433">
        <v>1.07E-3</v>
      </c>
      <c r="G51" s="433">
        <v>1.07E-3</v>
      </c>
      <c r="H51" s="407">
        <v>0</v>
      </c>
      <c r="J51" s="319">
        <f t="shared" si="0"/>
        <v>0</v>
      </c>
    </row>
    <row r="52" spans="2:10" x14ac:dyDescent="0.2">
      <c r="B52" s="410">
        <v>47</v>
      </c>
      <c r="C52" s="377" t="s">
        <v>490</v>
      </c>
      <c r="D52" s="386" t="s">
        <v>491</v>
      </c>
      <c r="E52" s="433">
        <v>1.8762999999999998E-2</v>
      </c>
      <c r="F52" s="433">
        <v>1.8762999999999998E-2</v>
      </c>
      <c r="G52" s="433">
        <v>1.8762999999999998E-2</v>
      </c>
      <c r="H52" s="407">
        <v>0</v>
      </c>
      <c r="J52" s="319">
        <f t="shared" si="0"/>
        <v>0</v>
      </c>
    </row>
    <row r="53" spans="2:10" x14ac:dyDescent="0.2">
      <c r="B53" s="410">
        <v>48</v>
      </c>
      <c r="C53" s="377" t="s">
        <v>492</v>
      </c>
      <c r="D53" s="386" t="s">
        <v>493</v>
      </c>
      <c r="E53" s="433">
        <v>2.212E-3</v>
      </c>
      <c r="F53" s="433">
        <v>2.212E-3</v>
      </c>
      <c r="G53" s="433">
        <v>2.212E-3</v>
      </c>
      <c r="H53" s="407">
        <v>0</v>
      </c>
      <c r="J53" s="319">
        <f t="shared" si="0"/>
        <v>0</v>
      </c>
    </row>
    <row r="54" spans="2:10" x14ac:dyDescent="0.2">
      <c r="B54" s="410">
        <v>49</v>
      </c>
      <c r="C54" s="377" t="s">
        <v>494</v>
      </c>
      <c r="D54" s="386" t="s">
        <v>495</v>
      </c>
      <c r="E54" s="433">
        <v>6.8799999999999998E-3</v>
      </c>
      <c r="F54" s="433">
        <v>6.8799999999999998E-3</v>
      </c>
      <c r="G54" s="433">
        <v>6.8799999999999998E-3</v>
      </c>
      <c r="H54" s="407">
        <v>0</v>
      </c>
      <c r="J54" s="319">
        <f t="shared" si="0"/>
        <v>0</v>
      </c>
    </row>
    <row r="55" spans="2:10" x14ac:dyDescent="0.2">
      <c r="B55" s="410">
        <v>50</v>
      </c>
      <c r="C55" s="377" t="s">
        <v>496</v>
      </c>
      <c r="D55" s="386" t="s">
        <v>497</v>
      </c>
      <c r="E55" s="433">
        <v>1.9911999999999999E-2</v>
      </c>
      <c r="F55" s="433">
        <v>1.9911999999999999E-2</v>
      </c>
      <c r="G55" s="433">
        <v>1.9911999999999999E-2</v>
      </c>
      <c r="H55" s="407">
        <v>0</v>
      </c>
      <c r="J55" s="319">
        <f t="shared" si="0"/>
        <v>0</v>
      </c>
    </row>
    <row r="56" spans="2:10" x14ac:dyDescent="0.2">
      <c r="B56" s="410">
        <v>51</v>
      </c>
      <c r="C56" s="377" t="s">
        <v>498</v>
      </c>
      <c r="D56" s="386" t="s">
        <v>499</v>
      </c>
      <c r="E56" s="433">
        <v>2.4853E-2</v>
      </c>
      <c r="F56" s="433">
        <v>2.4853E-2</v>
      </c>
      <c r="G56" s="433">
        <v>2.4853E-2</v>
      </c>
      <c r="H56" s="407">
        <v>0</v>
      </c>
      <c r="J56" s="319">
        <f t="shared" si="0"/>
        <v>0</v>
      </c>
    </row>
    <row r="57" spans="2:10" x14ac:dyDescent="0.2">
      <c r="B57" s="410">
        <v>52</v>
      </c>
      <c r="C57" s="377" t="s">
        <v>500</v>
      </c>
      <c r="D57" s="386" t="s">
        <v>501</v>
      </c>
      <c r="E57" s="433">
        <v>3.075E-3</v>
      </c>
      <c r="F57" s="433">
        <v>3.075E-3</v>
      </c>
      <c r="G57" s="433">
        <v>3.075E-3</v>
      </c>
      <c r="H57" s="407">
        <v>0</v>
      </c>
      <c r="J57" s="319">
        <f t="shared" si="0"/>
        <v>0</v>
      </c>
    </row>
    <row r="58" spans="2:10" x14ac:dyDescent="0.2">
      <c r="B58" s="410">
        <v>53</v>
      </c>
      <c r="C58" s="377" t="s">
        <v>502</v>
      </c>
      <c r="D58" s="386" t="s">
        <v>503</v>
      </c>
      <c r="E58" s="433">
        <v>4.1089999999999998E-3</v>
      </c>
      <c r="F58" s="433">
        <v>4.1089999999999998E-3</v>
      </c>
      <c r="G58" s="433">
        <v>4.1089999999999998E-3</v>
      </c>
      <c r="H58" s="407">
        <v>0</v>
      </c>
      <c r="J58" s="319">
        <f t="shared" si="0"/>
        <v>0</v>
      </c>
    </row>
    <row r="59" spans="2:10" x14ac:dyDescent="0.2">
      <c r="B59" s="410">
        <v>54</v>
      </c>
      <c r="C59" s="377" t="s">
        <v>504</v>
      </c>
      <c r="D59" s="386" t="s">
        <v>505</v>
      </c>
      <c r="E59" s="433">
        <v>3.4819000000000003E-2</v>
      </c>
      <c r="F59" s="433">
        <v>3.4819000000000003E-2</v>
      </c>
      <c r="G59" s="433">
        <v>3.4819000000000003E-2</v>
      </c>
      <c r="H59" s="407">
        <v>0</v>
      </c>
      <c r="J59" s="319">
        <f t="shared" si="0"/>
        <v>0</v>
      </c>
    </row>
    <row r="60" spans="2:10" x14ac:dyDescent="0.2">
      <c r="B60" s="410">
        <v>55</v>
      </c>
      <c r="C60" s="377" t="s">
        <v>506</v>
      </c>
      <c r="D60" s="386" t="s">
        <v>507</v>
      </c>
      <c r="E60" s="433">
        <v>0.34071000000000001</v>
      </c>
      <c r="F60" s="433">
        <v>0.34071000000000001</v>
      </c>
      <c r="G60" s="433">
        <v>0.34071000000000001</v>
      </c>
      <c r="H60" s="407">
        <v>0</v>
      </c>
      <c r="J60" s="319">
        <f t="shared" si="0"/>
        <v>0</v>
      </c>
    </row>
    <row r="61" spans="2:10" x14ac:dyDescent="0.2">
      <c r="B61" s="410">
        <v>56</v>
      </c>
      <c r="C61" s="377" t="s">
        <v>508</v>
      </c>
      <c r="D61" s="386" t="s">
        <v>509</v>
      </c>
      <c r="E61" s="433">
        <v>2.8419E-2</v>
      </c>
      <c r="F61" s="433">
        <v>2.8419E-2</v>
      </c>
      <c r="G61" s="433">
        <v>2.8419E-2</v>
      </c>
      <c r="H61" s="407">
        <v>0</v>
      </c>
      <c r="J61" s="319">
        <f t="shared" si="0"/>
        <v>0</v>
      </c>
    </row>
    <row r="62" spans="2:10" ht="24" x14ac:dyDescent="0.2">
      <c r="B62" s="410">
        <v>57</v>
      </c>
      <c r="C62" s="377" t="s">
        <v>510</v>
      </c>
      <c r="D62" s="387" t="s">
        <v>611</v>
      </c>
      <c r="E62" s="433">
        <v>0.30516599999999999</v>
      </c>
      <c r="F62" s="433">
        <v>0.30516599999999999</v>
      </c>
      <c r="G62" s="433">
        <v>0.30516599999999999</v>
      </c>
      <c r="H62" s="407">
        <v>0</v>
      </c>
      <c r="J62" s="319">
        <f t="shared" si="0"/>
        <v>0</v>
      </c>
    </row>
    <row r="63" spans="2:10" ht="18.75" customHeight="1" x14ac:dyDescent="0.2">
      <c r="B63" s="410">
        <v>58</v>
      </c>
      <c r="C63" s="377" t="s">
        <v>511</v>
      </c>
      <c r="D63" s="386" t="s">
        <v>512</v>
      </c>
      <c r="E63" s="433">
        <v>7.1891999999999998E-2</v>
      </c>
      <c r="F63" s="433">
        <v>7.1891999999999998E-2</v>
      </c>
      <c r="G63" s="433">
        <v>7.1891999999999998E-2</v>
      </c>
      <c r="H63" s="407">
        <v>0</v>
      </c>
      <c r="J63" s="319">
        <f t="shared" si="0"/>
        <v>0</v>
      </c>
    </row>
    <row r="64" spans="2:10" x14ac:dyDescent="0.2">
      <c r="B64" s="410">
        <v>59</v>
      </c>
      <c r="C64" s="377" t="s">
        <v>513</v>
      </c>
      <c r="D64" s="386" t="s">
        <v>514</v>
      </c>
      <c r="E64" s="433">
        <v>0.32585399999999998</v>
      </c>
      <c r="F64" s="433">
        <v>0.32585399999999998</v>
      </c>
      <c r="G64" s="433">
        <v>0.32585399999999998</v>
      </c>
      <c r="H64" s="407">
        <v>0</v>
      </c>
      <c r="J64" s="319">
        <f t="shared" si="0"/>
        <v>0</v>
      </c>
    </row>
    <row r="65" spans="2:10" x14ac:dyDescent="0.2">
      <c r="B65" s="410">
        <v>60</v>
      </c>
      <c r="C65" s="377" t="s">
        <v>515</v>
      </c>
      <c r="D65" s="386" t="s">
        <v>516</v>
      </c>
      <c r="E65" s="433">
        <v>1.2571000000000001E-2</v>
      </c>
      <c r="F65" s="433">
        <v>1.2571000000000001E-2</v>
      </c>
      <c r="G65" s="433">
        <v>1.2571000000000001E-2</v>
      </c>
      <c r="H65" s="407">
        <v>0</v>
      </c>
      <c r="J65" s="319">
        <f t="shared" si="0"/>
        <v>0</v>
      </c>
    </row>
    <row r="66" spans="2:10" x14ac:dyDescent="0.2">
      <c r="B66" s="410">
        <v>61</v>
      </c>
      <c r="C66" s="377" t="s">
        <v>517</v>
      </c>
      <c r="D66" s="386" t="s">
        <v>518</v>
      </c>
      <c r="E66" s="433">
        <v>6.2854999999999994E-2</v>
      </c>
      <c r="F66" s="433">
        <v>6.2854999999999994E-2</v>
      </c>
      <c r="G66" s="433">
        <v>6.2854999999999994E-2</v>
      </c>
      <c r="H66" s="407">
        <v>0</v>
      </c>
      <c r="J66" s="319">
        <f t="shared" si="0"/>
        <v>0</v>
      </c>
    </row>
    <row r="67" spans="2:10" ht="24" x14ac:dyDescent="0.2">
      <c r="B67" s="410">
        <v>62</v>
      </c>
      <c r="C67" s="377" t="s">
        <v>519</v>
      </c>
      <c r="D67" s="387" t="s">
        <v>612</v>
      </c>
      <c r="E67" s="433">
        <v>8.9789999999999991E-3</v>
      </c>
      <c r="F67" s="433">
        <v>8.9789999999999991E-3</v>
      </c>
      <c r="G67" s="433">
        <v>8.9789999999999991E-3</v>
      </c>
      <c r="H67" s="407">
        <v>0</v>
      </c>
      <c r="J67" s="319">
        <f t="shared" si="0"/>
        <v>0</v>
      </c>
    </row>
    <row r="68" spans="2:10" x14ac:dyDescent="0.2">
      <c r="B68" s="410">
        <v>63</v>
      </c>
      <c r="C68" s="377" t="s">
        <v>520</v>
      </c>
      <c r="D68" s="386" t="s">
        <v>521</v>
      </c>
      <c r="E68" s="433">
        <v>0.52798100000000003</v>
      </c>
      <c r="F68" s="433">
        <v>0.52798100000000003</v>
      </c>
      <c r="G68" s="433">
        <v>0.52798100000000003</v>
      </c>
      <c r="H68" s="407">
        <v>0</v>
      </c>
      <c r="J68" s="319">
        <f t="shared" si="0"/>
        <v>0</v>
      </c>
    </row>
    <row r="69" spans="2:10" x14ac:dyDescent="0.2">
      <c r="B69" s="406"/>
      <c r="C69" s="411"/>
      <c r="D69" s="412" t="s">
        <v>208</v>
      </c>
      <c r="E69" s="318">
        <f>(SUM(E6:E68)-E70)*-1</f>
        <v>1.2999999999152578E-5</v>
      </c>
      <c r="F69" s="318">
        <v>1.2999999999152578E-5</v>
      </c>
      <c r="G69" s="318">
        <v>1.2999999999152578E-5</v>
      </c>
      <c r="H69" s="407">
        <v>0</v>
      </c>
      <c r="J69" s="319">
        <f t="shared" si="0"/>
        <v>0</v>
      </c>
    </row>
    <row r="70" spans="2:10" ht="15" customHeight="1" thickBot="1" x14ac:dyDescent="0.25">
      <c r="B70" s="709" t="s">
        <v>12</v>
      </c>
      <c r="C70" s="710"/>
      <c r="D70" s="710"/>
      <c r="E70" s="408">
        <v>4.4276999999999997</v>
      </c>
      <c r="F70" s="544">
        <f>SUM(F6:F69)</f>
        <v>4.4276999999999997</v>
      </c>
      <c r="G70" s="544">
        <f>SUM(G6:G69)</f>
        <v>4.4276999999999997</v>
      </c>
      <c r="H70" s="409">
        <f>SUM(H6:H69)</f>
        <v>0</v>
      </c>
      <c r="J70" s="320"/>
    </row>
    <row r="71" spans="2:10" ht="15" x14ac:dyDescent="0.2">
      <c r="B71" s="321" t="s">
        <v>64</v>
      </c>
      <c r="C71" s="322"/>
      <c r="D71" s="322"/>
      <c r="E71" s="323"/>
      <c r="F71" s="323"/>
      <c r="G71" s="323"/>
      <c r="H71" s="324"/>
    </row>
    <row r="72" spans="2:10" ht="15" x14ac:dyDescent="0.2">
      <c r="B72" s="321"/>
      <c r="C72" s="322"/>
      <c r="D72" s="322"/>
      <c r="E72" s="323"/>
      <c r="F72" s="323"/>
      <c r="G72" s="323"/>
      <c r="H72" s="324"/>
    </row>
    <row r="73" spans="2:10" ht="15.95" customHeight="1" x14ac:dyDescent="0.2">
      <c r="C73" s="691" t="s">
        <v>119</v>
      </c>
      <c r="D73" s="691"/>
      <c r="E73" s="692" t="s">
        <v>120</v>
      </c>
      <c r="F73" s="692"/>
      <c r="G73" s="693"/>
      <c r="H73" s="694"/>
    </row>
    <row r="74" spans="2:10" x14ac:dyDescent="0.2">
      <c r="C74" s="689" t="str">
        <f>+'ÖN BİLGİ'!F13</f>
        <v>Özbulut Yapı Taah.İnş.Gıda San.ve Tic.Ltd.Şti.</v>
      </c>
      <c r="D74" s="689"/>
      <c r="E74" s="690" t="s">
        <v>777</v>
      </c>
      <c r="F74" s="690"/>
      <c r="G74" s="689"/>
      <c r="H74" s="689"/>
    </row>
    <row r="75" spans="2:10" ht="15" customHeight="1" x14ac:dyDescent="0.2">
      <c r="C75" s="689"/>
      <c r="D75" s="689"/>
      <c r="E75" s="690" t="s">
        <v>778</v>
      </c>
      <c r="F75" s="690"/>
      <c r="G75" s="689"/>
      <c r="H75" s="689"/>
    </row>
    <row r="76" spans="2:10" ht="32.1" customHeight="1" x14ac:dyDescent="0.2">
      <c r="B76" s="695" t="s">
        <v>116</v>
      </c>
      <c r="C76" s="695"/>
      <c r="D76" s="695"/>
      <c r="E76" s="695"/>
      <c r="F76" s="695"/>
      <c r="G76" s="695"/>
      <c r="H76" s="695"/>
    </row>
    <row r="77" spans="2:10" ht="32.1" customHeight="1" x14ac:dyDescent="0.2">
      <c r="B77" s="696" t="str">
        <f>+B2</f>
        <v xml:space="preserve">Araklı Çankaya Yibo Lojman İnşaatı İşi </v>
      </c>
      <c r="C77" s="696"/>
      <c r="D77" s="696"/>
      <c r="E77" s="696"/>
      <c r="F77" s="696"/>
      <c r="G77" s="696"/>
      <c r="H77" s="696"/>
    </row>
    <row r="78" spans="2:10" ht="15.75" x14ac:dyDescent="0.2">
      <c r="B78" s="696"/>
      <c r="C78" s="696"/>
      <c r="D78" s="696"/>
      <c r="E78" s="696"/>
      <c r="F78" s="696"/>
      <c r="G78" s="308" t="s">
        <v>190</v>
      </c>
      <c r="H78" s="309">
        <v>1</v>
      </c>
    </row>
    <row r="79" spans="2:10" ht="23.25" customHeight="1" x14ac:dyDescent="0.2">
      <c r="B79" s="697" t="s">
        <v>235</v>
      </c>
      <c r="C79" s="697"/>
      <c r="D79" s="697"/>
      <c r="E79" s="697"/>
      <c r="F79" s="697"/>
      <c r="G79" s="310" t="s">
        <v>189</v>
      </c>
      <c r="H79" s="311" t="str">
        <f>+'ÖN BİLGİ'!F6</f>
        <v>5(Beş)</v>
      </c>
    </row>
    <row r="80" spans="2:10" ht="42.75" x14ac:dyDescent="0.2">
      <c r="B80" s="312" t="s">
        <v>15</v>
      </c>
      <c r="C80" s="312" t="s">
        <v>17</v>
      </c>
      <c r="D80" s="312" t="s">
        <v>16</v>
      </c>
      <c r="E80" s="313" t="s">
        <v>124</v>
      </c>
      <c r="F80" s="313" t="s">
        <v>125</v>
      </c>
      <c r="G80" s="313" t="s">
        <v>126</v>
      </c>
      <c r="H80" s="314" t="s">
        <v>127</v>
      </c>
      <c r="J80" s="325" t="s">
        <v>206</v>
      </c>
    </row>
    <row r="81" spans="2:10" x14ac:dyDescent="0.2">
      <c r="B81" s="420">
        <v>1</v>
      </c>
      <c r="C81" s="377" t="s">
        <v>694</v>
      </c>
      <c r="D81" s="386" t="s">
        <v>695</v>
      </c>
      <c r="E81" s="433">
        <v>2.5523000000000001E-2</v>
      </c>
      <c r="F81" s="433">
        <v>2.5523000000000001E-2</v>
      </c>
      <c r="G81" s="433">
        <v>2.5523000000000001E-2</v>
      </c>
      <c r="H81" s="318">
        <v>0</v>
      </c>
      <c r="J81" s="319">
        <f>+E81-F81</f>
        <v>0</v>
      </c>
    </row>
    <row r="82" spans="2:10" x14ac:dyDescent="0.2">
      <c r="B82" s="420">
        <v>2</v>
      </c>
      <c r="C82" s="377" t="s">
        <v>696</v>
      </c>
      <c r="D82" s="386" t="s">
        <v>756</v>
      </c>
      <c r="E82" s="433">
        <v>6.9170999999999996E-2</v>
      </c>
      <c r="F82" s="433">
        <v>6.9170999999999996E-2</v>
      </c>
      <c r="G82" s="433">
        <v>6.9170999999999996E-2</v>
      </c>
      <c r="H82" s="318">
        <v>0</v>
      </c>
      <c r="J82" s="319">
        <f t="shared" ref="J82:J116" si="1">+E82-F82</f>
        <v>0</v>
      </c>
    </row>
    <row r="83" spans="2:10" x14ac:dyDescent="0.2">
      <c r="B83" s="420">
        <v>3</v>
      </c>
      <c r="C83" s="377" t="s">
        <v>697</v>
      </c>
      <c r="D83" s="386" t="s">
        <v>757</v>
      </c>
      <c r="E83" s="433">
        <v>0.19518099999999999</v>
      </c>
      <c r="F83" s="433">
        <v>0.19518099999999999</v>
      </c>
      <c r="G83" s="433">
        <v>0.19518099999999999</v>
      </c>
      <c r="H83" s="318">
        <v>0</v>
      </c>
      <c r="J83" s="319">
        <f t="shared" si="1"/>
        <v>0</v>
      </c>
    </row>
    <row r="84" spans="2:10" x14ac:dyDescent="0.2">
      <c r="B84" s="420">
        <v>4</v>
      </c>
      <c r="C84" s="377" t="s">
        <v>698</v>
      </c>
      <c r="D84" s="386" t="s">
        <v>699</v>
      </c>
      <c r="E84" s="433">
        <v>5.1873000000000002E-2</v>
      </c>
      <c r="F84" s="433">
        <v>5.1873000000000002E-2</v>
      </c>
      <c r="G84" s="433">
        <v>5.1873000000000002E-2</v>
      </c>
      <c r="H84" s="318">
        <v>0</v>
      </c>
      <c r="J84" s="319">
        <f t="shared" si="1"/>
        <v>0</v>
      </c>
    </row>
    <row r="85" spans="2:10" x14ac:dyDescent="0.2">
      <c r="B85" s="420">
        <v>5</v>
      </c>
      <c r="C85" s="377" t="s">
        <v>700</v>
      </c>
      <c r="D85" s="386" t="s">
        <v>701</v>
      </c>
      <c r="E85" s="433">
        <v>2.8423E-2</v>
      </c>
      <c r="F85" s="433">
        <v>2.8423E-2</v>
      </c>
      <c r="G85" s="433">
        <v>2.8423E-2</v>
      </c>
      <c r="H85" s="318">
        <v>0</v>
      </c>
      <c r="J85" s="319">
        <f t="shared" si="1"/>
        <v>0</v>
      </c>
    </row>
    <row r="86" spans="2:10" x14ac:dyDescent="0.2">
      <c r="B86" s="420">
        <v>6</v>
      </c>
      <c r="C86" s="377" t="s">
        <v>702</v>
      </c>
      <c r="D86" s="386" t="s">
        <v>703</v>
      </c>
      <c r="E86" s="433">
        <v>0.20718400000000001</v>
      </c>
      <c r="F86" s="433">
        <v>0.20718400000000001</v>
      </c>
      <c r="G86" s="433">
        <v>0.20718400000000001</v>
      </c>
      <c r="H86" s="318">
        <v>0</v>
      </c>
      <c r="J86" s="319">
        <f t="shared" si="1"/>
        <v>0</v>
      </c>
    </row>
    <row r="87" spans="2:10" x14ac:dyDescent="0.2">
      <c r="B87" s="420">
        <v>7</v>
      </c>
      <c r="C87" s="377" t="s">
        <v>704</v>
      </c>
      <c r="D87" s="386" t="s">
        <v>705</v>
      </c>
      <c r="E87" s="433">
        <v>0.50216400000000005</v>
      </c>
      <c r="F87" s="433">
        <v>0.50216400000000005</v>
      </c>
      <c r="G87" s="433">
        <v>0.50216400000000005</v>
      </c>
      <c r="H87" s="318">
        <v>0</v>
      </c>
      <c r="J87" s="319">
        <f t="shared" si="1"/>
        <v>0</v>
      </c>
    </row>
    <row r="88" spans="2:10" x14ac:dyDescent="0.2">
      <c r="B88" s="420">
        <v>8</v>
      </c>
      <c r="C88" s="377" t="s">
        <v>706</v>
      </c>
      <c r="D88" s="386" t="s">
        <v>707</v>
      </c>
      <c r="E88" s="433">
        <v>2.5552999999999999E-2</v>
      </c>
      <c r="F88" s="433">
        <v>2.5552999999999999E-2</v>
      </c>
      <c r="G88" s="433">
        <v>2.5552999999999999E-2</v>
      </c>
      <c r="H88" s="318">
        <v>0</v>
      </c>
      <c r="J88" s="319">
        <f t="shared" si="1"/>
        <v>0</v>
      </c>
    </row>
    <row r="89" spans="2:10" x14ac:dyDescent="0.2">
      <c r="B89" s="420">
        <v>9</v>
      </c>
      <c r="C89" s="377" t="s">
        <v>708</v>
      </c>
      <c r="D89" s="386" t="s">
        <v>709</v>
      </c>
      <c r="E89" s="433">
        <v>6.4766000000000004E-2</v>
      </c>
      <c r="F89" s="433">
        <v>6.4766000000000004E-2</v>
      </c>
      <c r="G89" s="433">
        <v>6.4766000000000004E-2</v>
      </c>
      <c r="H89" s="318">
        <v>0</v>
      </c>
      <c r="J89" s="319">
        <f t="shared" si="1"/>
        <v>0</v>
      </c>
    </row>
    <row r="90" spans="2:10" x14ac:dyDescent="0.2">
      <c r="B90" s="420">
        <v>10</v>
      </c>
      <c r="C90" s="377" t="s">
        <v>710</v>
      </c>
      <c r="D90" s="386" t="s">
        <v>711</v>
      </c>
      <c r="E90" s="433">
        <v>2.7038E-2</v>
      </c>
      <c r="F90" s="433">
        <v>2.7038E-2</v>
      </c>
      <c r="G90" s="433">
        <v>2.7038E-2</v>
      </c>
      <c r="H90" s="318">
        <v>0</v>
      </c>
      <c r="J90" s="319">
        <f t="shared" si="1"/>
        <v>0</v>
      </c>
    </row>
    <row r="91" spans="2:10" x14ac:dyDescent="0.2">
      <c r="B91" s="420">
        <v>11</v>
      </c>
      <c r="C91" s="377" t="s">
        <v>712</v>
      </c>
      <c r="D91" s="386" t="s">
        <v>713</v>
      </c>
      <c r="E91" s="433">
        <v>1.1073E-2</v>
      </c>
      <c r="F91" s="433">
        <v>1.1073E-2</v>
      </c>
      <c r="G91" s="433">
        <v>1.1073E-2</v>
      </c>
      <c r="H91" s="318">
        <v>0</v>
      </c>
      <c r="J91" s="319">
        <f t="shared" si="1"/>
        <v>0</v>
      </c>
    </row>
    <row r="92" spans="2:10" x14ac:dyDescent="0.2">
      <c r="B92" s="420">
        <v>12</v>
      </c>
      <c r="C92" s="377" t="s">
        <v>714</v>
      </c>
      <c r="D92" s="386" t="s">
        <v>715</v>
      </c>
      <c r="E92" s="433">
        <v>5.9880000000000003E-2</v>
      </c>
      <c r="F92" s="433">
        <v>5.9880000000000003E-2</v>
      </c>
      <c r="G92" s="433">
        <v>5.9880000000000003E-2</v>
      </c>
      <c r="H92" s="318">
        <v>0</v>
      </c>
      <c r="J92" s="319">
        <f t="shared" si="1"/>
        <v>0</v>
      </c>
    </row>
    <row r="93" spans="2:10" x14ac:dyDescent="0.2">
      <c r="B93" s="420">
        <v>13</v>
      </c>
      <c r="C93" s="377" t="s">
        <v>716</v>
      </c>
      <c r="D93" s="386" t="s">
        <v>717</v>
      </c>
      <c r="E93" s="433">
        <v>6.7322999999999994E-2</v>
      </c>
      <c r="F93" s="433">
        <v>6.7322999999999994E-2</v>
      </c>
      <c r="G93" s="433">
        <v>6.7322999999999994E-2</v>
      </c>
      <c r="H93" s="318">
        <v>0</v>
      </c>
      <c r="J93" s="319">
        <f t="shared" si="1"/>
        <v>0</v>
      </c>
    </row>
    <row r="94" spans="2:10" x14ac:dyDescent="0.2">
      <c r="B94" s="420">
        <v>14</v>
      </c>
      <c r="C94" s="377" t="s">
        <v>718</v>
      </c>
      <c r="D94" s="386" t="s">
        <v>719</v>
      </c>
      <c r="E94" s="433">
        <v>0.21701000000000001</v>
      </c>
      <c r="F94" s="433">
        <v>0.21701000000000001</v>
      </c>
      <c r="G94" s="433">
        <v>0.21701000000000001</v>
      </c>
      <c r="H94" s="318">
        <v>0</v>
      </c>
      <c r="J94" s="319">
        <f t="shared" si="1"/>
        <v>0</v>
      </c>
    </row>
    <row r="95" spans="2:10" x14ac:dyDescent="0.2">
      <c r="B95" s="420">
        <v>15</v>
      </c>
      <c r="C95" s="377" t="s">
        <v>720</v>
      </c>
      <c r="D95" s="386" t="s">
        <v>721</v>
      </c>
      <c r="E95" s="433">
        <v>1.7770000000000001E-2</v>
      </c>
      <c r="F95" s="433">
        <v>1.7770000000000001E-2</v>
      </c>
      <c r="G95" s="433">
        <v>1.7770000000000001E-2</v>
      </c>
      <c r="H95" s="318">
        <v>0</v>
      </c>
      <c r="J95" s="319">
        <f t="shared" si="1"/>
        <v>0</v>
      </c>
    </row>
    <row r="96" spans="2:10" x14ac:dyDescent="0.2">
      <c r="B96" s="420">
        <v>16</v>
      </c>
      <c r="C96" s="377" t="s">
        <v>722</v>
      </c>
      <c r="D96" s="386" t="s">
        <v>723</v>
      </c>
      <c r="E96" s="433">
        <v>0.30308299999999999</v>
      </c>
      <c r="F96" s="433">
        <v>0.30308299999999999</v>
      </c>
      <c r="G96" s="433">
        <v>0.30308299999999999</v>
      </c>
      <c r="H96" s="318">
        <v>0</v>
      </c>
      <c r="J96" s="319">
        <f t="shared" si="1"/>
        <v>0</v>
      </c>
    </row>
    <row r="97" spans="2:10" x14ac:dyDescent="0.2">
      <c r="B97" s="420">
        <v>17</v>
      </c>
      <c r="C97" s="377">
        <v>27</v>
      </c>
      <c r="D97" s="386" t="s">
        <v>724</v>
      </c>
      <c r="E97" s="433">
        <v>1.3190000000000001E-3</v>
      </c>
      <c r="F97" s="433">
        <v>1.3190000000000001E-3</v>
      </c>
      <c r="G97" s="433">
        <v>1.3190000000000001E-3</v>
      </c>
      <c r="H97" s="318">
        <v>0</v>
      </c>
      <c r="J97" s="319">
        <f t="shared" si="1"/>
        <v>0</v>
      </c>
    </row>
    <row r="98" spans="2:10" x14ac:dyDescent="0.2">
      <c r="B98" s="420">
        <v>18</v>
      </c>
      <c r="C98" s="377">
        <v>28</v>
      </c>
      <c r="D98" s="386" t="s">
        <v>725</v>
      </c>
      <c r="E98" s="433">
        <v>1.4284E-2</v>
      </c>
      <c r="F98" s="433">
        <v>1.4284E-2</v>
      </c>
      <c r="G98" s="433">
        <v>1.4284E-2</v>
      </c>
      <c r="H98" s="318">
        <v>0</v>
      </c>
      <c r="J98" s="319">
        <f t="shared" si="1"/>
        <v>0</v>
      </c>
    </row>
    <row r="99" spans="2:10" x14ac:dyDescent="0.2">
      <c r="B99" s="420">
        <v>19</v>
      </c>
      <c r="C99" s="434" t="s">
        <v>772</v>
      </c>
      <c r="D99" s="386" t="s">
        <v>726</v>
      </c>
      <c r="E99" s="433">
        <v>6.594E-3</v>
      </c>
      <c r="F99" s="433">
        <v>6.594E-3</v>
      </c>
      <c r="G99" s="433">
        <v>6.594E-3</v>
      </c>
      <c r="H99" s="318">
        <v>0</v>
      </c>
      <c r="J99" s="319">
        <f t="shared" si="1"/>
        <v>0</v>
      </c>
    </row>
    <row r="100" spans="2:10" x14ac:dyDescent="0.2">
      <c r="B100" s="420">
        <v>20</v>
      </c>
      <c r="C100" s="377" t="s">
        <v>727</v>
      </c>
      <c r="D100" s="386" t="s">
        <v>728</v>
      </c>
      <c r="E100" s="433">
        <v>0.10143000000000001</v>
      </c>
      <c r="F100" s="433">
        <v>0.10143000000000001</v>
      </c>
      <c r="G100" s="433">
        <v>0.10143000000000001</v>
      </c>
      <c r="H100" s="318">
        <v>0</v>
      </c>
      <c r="J100" s="319">
        <f t="shared" si="1"/>
        <v>0</v>
      </c>
    </row>
    <row r="101" spans="2:10" x14ac:dyDescent="0.2">
      <c r="B101" s="420">
        <v>21</v>
      </c>
      <c r="C101" s="434" t="s">
        <v>773</v>
      </c>
      <c r="D101" s="386" t="s">
        <v>729</v>
      </c>
      <c r="E101" s="433">
        <v>4.3804000000000003E-2</v>
      </c>
      <c r="F101" s="433">
        <v>4.3804000000000003E-2</v>
      </c>
      <c r="G101" s="433">
        <v>4.3804000000000003E-2</v>
      </c>
      <c r="H101" s="318">
        <v>0</v>
      </c>
      <c r="J101" s="319">
        <f t="shared" si="1"/>
        <v>0</v>
      </c>
    </row>
    <row r="102" spans="2:10" x14ac:dyDescent="0.2">
      <c r="B102" s="420">
        <v>22</v>
      </c>
      <c r="C102" s="434" t="s">
        <v>774</v>
      </c>
      <c r="D102" s="386" t="s">
        <v>730</v>
      </c>
      <c r="E102" s="433">
        <v>2.1802999999999999E-2</v>
      </c>
      <c r="F102" s="433">
        <v>2.1802999999999999E-2</v>
      </c>
      <c r="G102" s="433">
        <v>2.1802999999999999E-2</v>
      </c>
      <c r="H102" s="318">
        <v>0</v>
      </c>
      <c r="J102" s="319">
        <f t="shared" si="1"/>
        <v>0</v>
      </c>
    </row>
    <row r="103" spans="2:10" x14ac:dyDescent="0.2">
      <c r="B103" s="420">
        <v>23</v>
      </c>
      <c r="C103" s="377" t="s">
        <v>731</v>
      </c>
      <c r="D103" s="386" t="s">
        <v>732</v>
      </c>
      <c r="E103" s="433">
        <v>1.100714</v>
      </c>
      <c r="F103" s="433">
        <v>1.100714</v>
      </c>
      <c r="G103" s="433">
        <v>1.100714</v>
      </c>
      <c r="H103" s="318">
        <v>0</v>
      </c>
      <c r="J103" s="319">
        <f t="shared" si="1"/>
        <v>0</v>
      </c>
    </row>
    <row r="104" spans="2:10" x14ac:dyDescent="0.2">
      <c r="B104" s="420">
        <v>24</v>
      </c>
      <c r="C104" s="377" t="s">
        <v>733</v>
      </c>
      <c r="D104" s="386" t="s">
        <v>734</v>
      </c>
      <c r="E104" s="433">
        <v>0.13355400000000001</v>
      </c>
      <c r="F104" s="433">
        <v>0.13355400000000001</v>
      </c>
      <c r="G104" s="433">
        <v>0.13355400000000001</v>
      </c>
      <c r="H104" s="318">
        <v>0</v>
      </c>
      <c r="J104" s="319">
        <f t="shared" si="1"/>
        <v>0</v>
      </c>
    </row>
    <row r="105" spans="2:10" x14ac:dyDescent="0.2">
      <c r="B105" s="420">
        <v>25</v>
      </c>
      <c r="C105" s="377" t="s">
        <v>735</v>
      </c>
      <c r="D105" s="386" t="s">
        <v>736</v>
      </c>
      <c r="E105" s="433">
        <v>4.6003000000000002E-2</v>
      </c>
      <c r="F105" s="433">
        <v>4.6003000000000002E-2</v>
      </c>
      <c r="G105" s="433">
        <v>4.6003000000000002E-2</v>
      </c>
      <c r="H105" s="318">
        <v>0</v>
      </c>
      <c r="J105" s="319">
        <f t="shared" si="1"/>
        <v>0</v>
      </c>
    </row>
    <row r="106" spans="2:10" x14ac:dyDescent="0.2">
      <c r="B106" s="420">
        <v>26</v>
      </c>
      <c r="C106" s="377" t="s">
        <v>737</v>
      </c>
      <c r="D106" s="386" t="s">
        <v>738</v>
      </c>
      <c r="E106" s="433">
        <v>0.132857</v>
      </c>
      <c r="F106" s="433">
        <v>0.132857</v>
      </c>
      <c r="G106" s="433">
        <v>0.132857</v>
      </c>
      <c r="H106" s="318">
        <v>0</v>
      </c>
      <c r="J106" s="319">
        <f t="shared" si="1"/>
        <v>0</v>
      </c>
    </row>
    <row r="107" spans="2:10" x14ac:dyDescent="0.2">
      <c r="B107" s="420">
        <v>27</v>
      </c>
      <c r="C107" s="377" t="s">
        <v>739</v>
      </c>
      <c r="D107" s="386" t="s">
        <v>740</v>
      </c>
      <c r="E107" s="433">
        <v>0.10838299999999999</v>
      </c>
      <c r="F107" s="433">
        <v>0.10838299999999999</v>
      </c>
      <c r="G107" s="433">
        <v>0.10838299999999999</v>
      </c>
      <c r="H107" s="318">
        <v>0</v>
      </c>
      <c r="J107" s="319">
        <f t="shared" si="1"/>
        <v>0</v>
      </c>
    </row>
    <row r="108" spans="2:10" x14ac:dyDescent="0.2">
      <c r="B108" s="420">
        <v>28</v>
      </c>
      <c r="C108" s="377" t="s">
        <v>741</v>
      </c>
      <c r="D108" s="386" t="s">
        <v>742</v>
      </c>
      <c r="E108" s="433">
        <v>6.6400000000000001E-3</v>
      </c>
      <c r="F108" s="433">
        <v>6.6400000000000001E-3</v>
      </c>
      <c r="G108" s="433">
        <v>6.6400000000000001E-3</v>
      </c>
      <c r="H108" s="318">
        <v>0</v>
      </c>
      <c r="J108" s="319">
        <f t="shared" si="1"/>
        <v>0</v>
      </c>
    </row>
    <row r="109" spans="2:10" x14ac:dyDescent="0.2">
      <c r="B109" s="420">
        <v>29</v>
      </c>
      <c r="C109" s="377" t="s">
        <v>743</v>
      </c>
      <c r="D109" s="386" t="s">
        <v>744</v>
      </c>
      <c r="E109" s="433">
        <v>2.1503000000000001E-2</v>
      </c>
      <c r="F109" s="433">
        <v>2.1503000000000001E-2</v>
      </c>
      <c r="G109" s="433">
        <v>2.1503000000000001E-2</v>
      </c>
      <c r="H109" s="318">
        <v>0</v>
      </c>
      <c r="J109" s="319">
        <f t="shared" si="1"/>
        <v>0</v>
      </c>
    </row>
    <row r="110" spans="2:10" x14ac:dyDescent="0.2">
      <c r="B110" s="420">
        <v>30</v>
      </c>
      <c r="C110" s="377" t="s">
        <v>745</v>
      </c>
      <c r="D110" s="386" t="s">
        <v>746</v>
      </c>
      <c r="E110" s="433">
        <v>2.9744E-2</v>
      </c>
      <c r="F110" s="433">
        <v>2.9744E-2</v>
      </c>
      <c r="G110" s="433">
        <v>2.9744E-2</v>
      </c>
      <c r="H110" s="318">
        <v>0</v>
      </c>
      <c r="J110" s="319">
        <f t="shared" si="1"/>
        <v>0</v>
      </c>
    </row>
    <row r="111" spans="2:10" x14ac:dyDescent="0.2">
      <c r="B111" s="420">
        <v>31</v>
      </c>
      <c r="C111" s="377" t="s">
        <v>281</v>
      </c>
      <c r="D111" s="386" t="s">
        <v>747</v>
      </c>
      <c r="E111" s="433">
        <v>0.109406</v>
      </c>
      <c r="F111" s="433">
        <v>0.109406</v>
      </c>
      <c r="G111" s="433">
        <v>0.109406</v>
      </c>
      <c r="H111" s="318">
        <v>0</v>
      </c>
      <c r="J111" s="319">
        <f t="shared" si="1"/>
        <v>0</v>
      </c>
    </row>
    <row r="112" spans="2:10" x14ac:dyDescent="0.2">
      <c r="B112" s="420">
        <v>32</v>
      </c>
      <c r="C112" s="377" t="s">
        <v>748</v>
      </c>
      <c r="D112" s="386" t="s">
        <v>749</v>
      </c>
      <c r="E112" s="433">
        <v>2.7678999999999999E-2</v>
      </c>
      <c r="F112" s="433">
        <v>2.7678999999999999E-2</v>
      </c>
      <c r="G112" s="433">
        <v>2.7678999999999999E-2</v>
      </c>
      <c r="H112" s="318">
        <v>0</v>
      </c>
      <c r="J112" s="319">
        <f t="shared" si="1"/>
        <v>0</v>
      </c>
    </row>
    <row r="113" spans="2:11" x14ac:dyDescent="0.2">
      <c r="B113" s="420">
        <v>33</v>
      </c>
      <c r="C113" s="377" t="s">
        <v>750</v>
      </c>
      <c r="D113" s="386" t="s">
        <v>751</v>
      </c>
      <c r="E113" s="433">
        <v>1.5907999999999999E-2</v>
      </c>
      <c r="F113" s="433">
        <v>1.5907999999999999E-2</v>
      </c>
      <c r="G113" s="433">
        <v>1.5907999999999999E-2</v>
      </c>
      <c r="H113" s="318">
        <v>0</v>
      </c>
      <c r="J113" s="319">
        <f t="shared" si="1"/>
        <v>0</v>
      </c>
    </row>
    <row r="114" spans="2:11" x14ac:dyDescent="0.2">
      <c r="B114" s="420">
        <v>34</v>
      </c>
      <c r="C114" s="377" t="s">
        <v>752</v>
      </c>
      <c r="D114" s="386" t="s">
        <v>753</v>
      </c>
      <c r="E114" s="433">
        <v>8.3973999999999993E-2</v>
      </c>
      <c r="F114" s="433">
        <v>8.3973999999999993E-2</v>
      </c>
      <c r="G114" s="433">
        <v>8.3973999999999993E-2</v>
      </c>
      <c r="H114" s="318">
        <v>0</v>
      </c>
      <c r="J114" s="319">
        <f t="shared" si="1"/>
        <v>0</v>
      </c>
    </row>
    <row r="115" spans="2:11" x14ac:dyDescent="0.2">
      <c r="B115" s="420">
        <v>35</v>
      </c>
      <c r="C115" s="377" t="s">
        <v>754</v>
      </c>
      <c r="D115" s="386" t="s">
        <v>755</v>
      </c>
      <c r="E115" s="433">
        <v>5.9061000000000002E-2</v>
      </c>
      <c r="F115" s="433">
        <v>5.9061000000000002E-2</v>
      </c>
      <c r="G115" s="433">
        <v>5.9061000000000002E-2</v>
      </c>
      <c r="H115" s="318">
        <v>0</v>
      </c>
      <c r="J115" s="319">
        <f t="shared" si="1"/>
        <v>0</v>
      </c>
    </row>
    <row r="116" spans="2:11" x14ac:dyDescent="0.2">
      <c r="B116" s="306"/>
      <c r="C116" s="316"/>
      <c r="D116" s="317" t="s">
        <v>233</v>
      </c>
      <c r="E116" s="318">
        <f>(SUM(E81:E115)-E117)*-1</f>
        <v>2.5000000000829914E-5</v>
      </c>
      <c r="F116" s="318">
        <v>2.5000000000829914E-5</v>
      </c>
      <c r="G116" s="318">
        <v>2.5000000000829914E-5</v>
      </c>
      <c r="H116" s="318">
        <v>0</v>
      </c>
      <c r="J116" s="319">
        <f t="shared" si="1"/>
        <v>0</v>
      </c>
    </row>
    <row r="117" spans="2:11" ht="15" customHeight="1" x14ac:dyDescent="0.2">
      <c r="B117" s="698" t="s">
        <v>12</v>
      </c>
      <c r="C117" s="698"/>
      <c r="D117" s="698"/>
      <c r="E117" s="353">
        <v>3.9377</v>
      </c>
      <c r="F117" s="354">
        <f>SUM(F81:F116)</f>
        <v>3.9377</v>
      </c>
      <c r="G117" s="354">
        <f>SUM(G81:G116)</f>
        <v>3.9377</v>
      </c>
      <c r="H117" s="354">
        <f>SUM(H81:H116)</f>
        <v>0</v>
      </c>
      <c r="J117" s="320"/>
    </row>
    <row r="118" spans="2:11" ht="15" x14ac:dyDescent="0.2">
      <c r="B118" s="321" t="s">
        <v>64</v>
      </c>
      <c r="C118" s="322"/>
      <c r="D118" s="322"/>
      <c r="E118" s="323"/>
      <c r="F118" s="323"/>
      <c r="G118" s="323"/>
      <c r="H118" s="324"/>
      <c r="K118" s="319"/>
    </row>
    <row r="119" spans="2:11" ht="15" x14ac:dyDescent="0.2">
      <c r="B119" s="321"/>
      <c r="C119" s="322"/>
      <c r="D119" s="322"/>
      <c r="E119" s="323"/>
      <c r="F119" s="323"/>
      <c r="G119" s="323"/>
      <c r="H119" s="324"/>
    </row>
    <row r="120" spans="2:11" ht="15.95" customHeight="1" x14ac:dyDescent="0.2">
      <c r="C120" s="691" t="s">
        <v>119</v>
      </c>
      <c r="D120" s="691"/>
      <c r="E120" s="692" t="s">
        <v>120</v>
      </c>
      <c r="F120" s="692"/>
      <c r="G120" s="693"/>
      <c r="H120" s="694"/>
    </row>
    <row r="121" spans="2:11" x14ac:dyDescent="0.2">
      <c r="C121" s="689" t="str">
        <f>+C74</f>
        <v>Özbulut Yapı Taah.İnş.Gıda San.ve Tic.Ltd.Şti.</v>
      </c>
      <c r="D121" s="689"/>
      <c r="E121" s="690" t="str">
        <f>+E74</f>
        <v>Muharrem CANIM</v>
      </c>
      <c r="F121" s="690"/>
      <c r="G121" s="689"/>
      <c r="H121" s="689"/>
    </row>
    <row r="122" spans="2:11" ht="15" customHeight="1" x14ac:dyDescent="0.2">
      <c r="C122" s="689"/>
      <c r="D122" s="689"/>
      <c r="E122" s="690" t="str">
        <f>+E75</f>
        <v>Elk.Tek.</v>
      </c>
      <c r="F122" s="690"/>
      <c r="G122" s="689"/>
      <c r="H122" s="689"/>
    </row>
  </sheetData>
  <mergeCells count="28">
    <mergeCell ref="C73:D73"/>
    <mergeCell ref="E73:F73"/>
    <mergeCell ref="G73:H73"/>
    <mergeCell ref="B1:H1"/>
    <mergeCell ref="B2:H2"/>
    <mergeCell ref="B3:F3"/>
    <mergeCell ref="B4:F4"/>
    <mergeCell ref="B70:D70"/>
    <mergeCell ref="C120:D120"/>
    <mergeCell ref="E120:F120"/>
    <mergeCell ref="G120:H120"/>
    <mergeCell ref="C74:D74"/>
    <mergeCell ref="E74:F74"/>
    <mergeCell ref="G74:H74"/>
    <mergeCell ref="C75:D75"/>
    <mergeCell ref="E75:F75"/>
    <mergeCell ref="G75:H75"/>
    <mergeCell ref="B76:H76"/>
    <mergeCell ref="B77:H77"/>
    <mergeCell ref="B78:F78"/>
    <mergeCell ref="B79:F79"/>
    <mergeCell ref="B117:D117"/>
    <mergeCell ref="C121:D121"/>
    <mergeCell ref="E121:F121"/>
    <mergeCell ref="G121:H121"/>
    <mergeCell ref="C122:D122"/>
    <mergeCell ref="E122:F122"/>
    <mergeCell ref="G122:H122"/>
  </mergeCells>
  <printOptions horizontalCentered="1"/>
  <pageMargins left="0.82" right="0.55000000000000004" top="0.7" bottom="0.5" header="0.35" footer="0.51181102362204722"/>
  <pageSetup paperSize="9" scale="66" orientation="portrait" horizontalDpi="300" verticalDpi="300" r:id="rId1"/>
  <headerFooter alignWithMargins="0"/>
  <rowBreaks count="1" manualBreakCount="1">
    <brk id="7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16</vt:i4>
      </vt:variant>
      <vt:variant>
        <vt:lpstr>Adlandırılmış Aralıklar</vt:lpstr>
      </vt:variant>
      <vt:variant>
        <vt:i4>12</vt:i4>
      </vt:variant>
    </vt:vector>
  </HeadingPairs>
  <TitlesOfParts>
    <vt:vector size="28" baseType="lpstr">
      <vt:lpstr>Dizi Pusulası</vt:lpstr>
      <vt:lpstr>ÖN BİLGİ</vt:lpstr>
      <vt:lpstr>Föy-1</vt:lpstr>
      <vt:lpstr>Föy-ara</vt:lpstr>
      <vt:lpstr>Föy-son</vt:lpstr>
      <vt:lpstr>Hakediş Raporu Kapağı</vt:lpstr>
      <vt:lpstr>Yeşil Defter-İNŞAAT</vt:lpstr>
      <vt:lpstr>Yeşil Defter-TESİSAT</vt:lpstr>
      <vt:lpstr>Yeşil Defter-ELEKTRİK</vt:lpstr>
      <vt:lpstr>f.farkı</vt:lpstr>
      <vt:lpstr>%3 KESİNTİ</vt:lpstr>
      <vt:lpstr>Hakediş Özeti</vt:lpstr>
      <vt:lpstr>İcmal</vt:lpstr>
      <vt:lpstr>Hakediş Raporu Son Sayfa</vt:lpstr>
      <vt:lpstr>yapılan işler listesi</vt:lpstr>
      <vt:lpstr>ilan ve tespit tutanağı </vt:lpstr>
      <vt:lpstr>'%3 KESİNTİ'!Yazdırma_Alanı</vt:lpstr>
      <vt:lpstr>'Dizi Pusulası'!Yazdırma_Alanı</vt:lpstr>
      <vt:lpstr>f.farkı!Yazdırma_Alanı</vt:lpstr>
      <vt:lpstr>'Hakediş Özeti'!Yazdırma_Alanı</vt:lpstr>
      <vt:lpstr>'Hakediş Raporu Kapağı'!Yazdırma_Alanı</vt:lpstr>
      <vt:lpstr>'Hakediş Raporu Son Sayfa'!Yazdırma_Alanı</vt:lpstr>
      <vt:lpstr>İcmal!Yazdırma_Alanı</vt:lpstr>
      <vt:lpstr>'ilan ve tespit tutanağı '!Yazdırma_Alanı</vt:lpstr>
      <vt:lpstr>'yapılan işler listesi'!Yazdırma_Alanı</vt:lpstr>
      <vt:lpstr>'Yeşil Defter-ELEKTRİK'!Yazdırma_Alanı</vt:lpstr>
      <vt:lpstr>'Yeşil Defter-İNŞAAT'!Yazdırma_Alanı</vt:lpstr>
      <vt:lpstr>'Yeşil Defter-TESİSAT'!Yazdırma_Alanı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Osman TEKER</dc:creator>
  <cp:lastModifiedBy>Eren Demirkaya</cp:lastModifiedBy>
  <cp:lastPrinted>2012-12-13T07:37:42Z</cp:lastPrinted>
  <dcterms:created xsi:type="dcterms:W3CDTF">2003-11-06T12:38:47Z</dcterms:created>
  <dcterms:modified xsi:type="dcterms:W3CDTF">2013-12-23T08:23:26Z</dcterms:modified>
</cp:coreProperties>
</file>